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<sst xmlns="http://schemas.openxmlformats.org/spreadsheetml/2006/main" count="3640" uniqueCount="877">
  <si>
    <t>Deal</t>
  </si>
  <si>
    <t>R&amp;D</t>
  </si>
  <si>
    <t>Client</t>
  </si>
  <si>
    <t>Deal Date</t>
  </si>
  <si>
    <t>Upfront Cash ($M)</t>
  </si>
  <si>
    <t>Deal Size ($M)</t>
  </si>
  <si>
    <t>Maximum Share (%)</t>
  </si>
  <si>
    <t>Equity ($M)</t>
  </si>
  <si>
    <t>Maximum Royalty (%)</t>
  </si>
  <si>
    <t>Deal Subject</t>
  </si>
  <si>
    <t>Exclusivity</t>
  </si>
  <si>
    <t>Deal Type</t>
  </si>
  <si>
    <t>Deal Source</t>
  </si>
  <si>
    <t>Stage</t>
  </si>
  <si>
    <t>Disease</t>
  </si>
  <si>
    <t>Indication</t>
  </si>
  <si>
    <t>Technology</t>
  </si>
  <si>
    <t>Sub-Technology</t>
  </si>
  <si>
    <t>Upfront Equity ($M)</t>
  </si>
  <si>
    <t>Contingent Equity ($M)</t>
  </si>
  <si>
    <t>R&amp;D Support ($M)</t>
  </si>
  <si>
    <t>FTE Rate ($M)</t>
  </si>
  <si>
    <t>Loan ($M)</t>
  </si>
  <si>
    <t>Dev / Reg Milestones ($M)</t>
  </si>
  <si>
    <t>Other Milestones ($M)</t>
  </si>
  <si>
    <t>Total Precommercial Payments ($M)</t>
  </si>
  <si>
    <t>Sales Milestones ($M)</t>
  </si>
  <si>
    <t>EFR$200M (%)</t>
  </si>
  <si>
    <t>EFR$500M (%)</t>
  </si>
  <si>
    <t>EFR$1B (%)</t>
  </si>
  <si>
    <t>Marketing Fee (%)</t>
  </si>
  <si>
    <t>Transfer Price (%)</t>
  </si>
  <si>
    <t>Manufacture Cost + (%)</t>
  </si>
  <si>
    <t>Profit Split (%)</t>
  </si>
  <si>
    <t>Financial Term Explanations</t>
  </si>
  <si>
    <t>Licensee Category</t>
  </si>
  <si>
    <t>Territory</t>
  </si>
  <si>
    <t>Meiji Seika</t>
  </si>
  <si>
    <t>MediciNova</t>
  </si>
  <si>
    <t>10/2006</t>
  </si>
  <si>
    <t/>
  </si>
  <si>
    <t>CP4715 (alphaVbeta3 / GPIIb/IIIa receptor dual antag) for cardio ex-Japan, China, Korea &amp; ASEAN</t>
  </si>
  <si>
    <t>Exclusive</t>
  </si>
  <si>
    <t>License</t>
  </si>
  <si>
    <t>FOIA</t>
  </si>
  <si>
    <t>Lead Molecule</t>
  </si>
  <si>
    <t>Cardiovascular</t>
  </si>
  <si>
    <t>Broad Focus Cardiovascular</t>
  </si>
  <si>
    <t>Synthetics</t>
  </si>
  <si>
    <t>Small Molecule</t>
  </si>
  <si>
    <t>5-7% in US &amp; 5-7% in ROW</t>
  </si>
  <si>
    <t>Japanese Pharma</t>
  </si>
  <si>
    <t>2003-12 IPOs</t>
  </si>
  <si>
    <t>Africa, Asia, Europe, Middle East, NAFTA, South America</t>
  </si>
  <si>
    <t>Adhera Therapeutics</t>
  </si>
  <si>
    <t>Procter &amp; Gamble</t>
  </si>
  <si>
    <t>1/2006</t>
  </si>
  <si>
    <t>11/2007</t>
  </si>
  <si>
    <t>PTH1­-34 (parathyroid hormone nasal spray) for treatment of osteoporosis</t>
  </si>
  <si>
    <t>Co-Promotion, Development, License, Supply, Termination</t>
  </si>
  <si>
    <t>Phase II, Formulation</t>
  </si>
  <si>
    <t>Bone Disease</t>
  </si>
  <si>
    <t>Osteoporosis</t>
  </si>
  <si>
    <t>Drug Delivery</t>
  </si>
  <si>
    <t>Nasal</t>
  </si>
  <si>
    <t>Co-Promotion, Development, License</t>
  </si>
  <si>
    <t>Cost of materials plus $0.75/Unit (see 6/06 Supply Agmt)</t>
  </si>
  <si>
    <t>Mid Tier Pharma</t>
  </si>
  <si>
    <t>Worldwide</t>
  </si>
  <si>
    <t>Health Protection Agency</t>
  </si>
  <si>
    <t>Emergent BioSolutions</t>
  </si>
  <si>
    <t>11/2004</t>
  </si>
  <si>
    <t>Recombinant toxin fragments for treatment of illness caused by C. botulinum toxin</t>
  </si>
  <si>
    <t>Infectious-Bacterial</t>
  </si>
  <si>
    <t>Broad Focus Infectious-Bacterial</t>
  </si>
  <si>
    <t>Merck</t>
  </si>
  <si>
    <t>9/2004</t>
  </si>
  <si>
    <t>3/2006</t>
  </si>
  <si>
    <t>PYY3-36 (Peptide YY nasal spray) for prevention of obesity</t>
  </si>
  <si>
    <t>Co-Promotion, Development, License, Loan, Supply, Termination</t>
  </si>
  <si>
    <t>Phase I</t>
  </si>
  <si>
    <t>Endocrinological &amp; Metabolic</t>
  </si>
  <si>
    <t>Obesity</t>
  </si>
  <si>
    <t>Drug Delivery, Peptides</t>
  </si>
  <si>
    <t>up to $30M loan for expansion of production capacity</t>
  </si>
  <si>
    <t>Top Pharma</t>
  </si>
  <si>
    <t>Inovio Pharmaceuticals</t>
  </si>
  <si>
    <t>5/2004</t>
  </si>
  <si>
    <t>MedPulser electroporation delivery of CEA or HER2/neu for DNA Vaccines for infection &amp; oncology</t>
  </si>
  <si>
    <t>Non-exclusive</t>
  </si>
  <si>
    <t>License, Option, Research, Supply</t>
  </si>
  <si>
    <t>Formulation, Device</t>
  </si>
  <si>
    <t>Cancer, Infectious-Bacterial, Infectious-Viral</t>
  </si>
  <si>
    <t>Broad Focus Cancer, Broad Focus Infectious-Bacterial, Broad Focus Infectious-Viral</t>
  </si>
  <si>
    <t>Device, Drug Delivery</t>
  </si>
  <si>
    <t>Transdermal</t>
  </si>
  <si>
    <t>Ligand, Metabasis Therapeutics</t>
  </si>
  <si>
    <t>12/2003</t>
  </si>
  <si>
    <t>HepDirect prodrug technology for HCV compounds</t>
  </si>
  <si>
    <t>License, Option, Research</t>
  </si>
  <si>
    <t>Discovery, Formulation</t>
  </si>
  <si>
    <t>Infectious-Viral</t>
  </si>
  <si>
    <t>Hepatitis C</t>
  </si>
  <si>
    <t>Drug Delivery, Screening, Synthetics</t>
  </si>
  <si>
    <t>Other, Small Molecule</t>
  </si>
  <si>
    <t>Abgenix</t>
  </si>
  <si>
    <t>AstraZeneca</t>
  </si>
  <si>
    <t>10/2003</t>
  </si>
  <si>
    <t>Fully human monoclonal antibodies to UPAR and add'l targets for cancer</t>
  </si>
  <si>
    <t>Co-Development, Equity, License, Option, Research</t>
  </si>
  <si>
    <t>Discovery</t>
  </si>
  <si>
    <t>Cancer</t>
  </si>
  <si>
    <t>Broad Focus Cancer</t>
  </si>
  <si>
    <t>Monoclonals</t>
  </si>
  <si>
    <t>Human Abs</t>
  </si>
  <si>
    <t>8-12% for Proprietary ABX Antigens; 6-10% for Non-Proprietary | $100M in preferred, convertible at $30/Sh</t>
  </si>
  <si>
    <t>Exelixis</t>
  </si>
  <si>
    <t>GlaxoSmithKline</t>
  </si>
  <si>
    <t>10/2002</t>
  </si>
  <si>
    <t>10/2008</t>
  </si>
  <si>
    <t>Chk1, SS-RTK, ADAM10 &amp; Dual KDR/FGFR1 inhibitor targets for cancer, cardio &amp; inflammation</t>
  </si>
  <si>
    <t>Co-Development, Co-Promotion, Equity, License, Loan, Option, Research, Termination</t>
  </si>
  <si>
    <t>Autoimmune/Inflammatory, Cancer, Cardiovascular</t>
  </si>
  <si>
    <t>Broad Focus Autoimmune/Inflammatory, Broad Focus Cancer, Broad Focus Cardiovascular</t>
  </si>
  <si>
    <t>Genomics, Synthetics</t>
  </si>
  <si>
    <t>Gene Expression, Small Molecule</t>
  </si>
  <si>
    <t>Co-Development, Co-Promotion, License, Option, Research</t>
  </si>
  <si>
    <t>$14M (2M @ $7/sh) in initial equity @ 100% premium per 10/28/02 PR | $30M add'l put equity @ 125% of FMV if GSK Expands Program | $90M over 6 yrs | 10-13% for 1st product (increasing for add'l products, up to 13-17% for 5 products) | $85M loan facility (increasing to $300M if GSK Expands Program) | $35-75M for 1st Compound, depending when accepted by GSK | $20M on Expanded Option exercise, $40M in Expanded Option payments plus add'l $90M in R&amp;D funding</t>
  </si>
  <si>
    <t>1991-2001 IPOs</t>
  </si>
  <si>
    <t>Angiogene</t>
  </si>
  <si>
    <t>6/2002</t>
  </si>
  <si>
    <t>MN-029 (vascular targeting agent) for treatment of solid tumors</t>
  </si>
  <si>
    <t>Preclinical</t>
  </si>
  <si>
    <t>Solid Tumors</t>
  </si>
  <si>
    <t>6-10% in US; 3-8% in ROW</t>
  </si>
  <si>
    <t>Kyorin Pharmaceutical</t>
  </si>
  <si>
    <t>3/2002</t>
  </si>
  <si>
    <t>MN-001 for asthma and incontinence ex-Japan, China &amp; S Korea</t>
  </si>
  <si>
    <t>Genitourinary/Gynecologic, Respiratory</t>
  </si>
  <si>
    <t>Asthma, Incontinence</t>
  </si>
  <si>
    <t>6-14% in US; 3-9% in non-US</t>
  </si>
  <si>
    <t>Catalyst Biosciences, Targacept</t>
  </si>
  <si>
    <t>Aventis, Sanofi, Rhone-Poulenc Rorer</t>
  </si>
  <si>
    <t>Nicotinic agonists for Alzheimer's and Parkinson's</t>
  </si>
  <si>
    <t>License, Research</t>
  </si>
  <si>
    <t>Lead Molecule, Discovery</t>
  </si>
  <si>
    <t>Central Nervous System</t>
  </si>
  <si>
    <t>Alzheimer's Disease, Parkinson's Disease</t>
  </si>
  <si>
    <t>Screening, Synthetics</t>
  </si>
  <si>
    <t>$30M for Alzheimer's | $25M for Parkinson's</t>
  </si>
  <si>
    <t>Xenova</t>
  </si>
  <si>
    <t>QLT</t>
  </si>
  <si>
    <t>8/2001</t>
  </si>
  <si>
    <t>Tariquidar (XR9576) MDR modulator for cancer in NAFTA</t>
  </si>
  <si>
    <t>Co-Development, License</t>
  </si>
  <si>
    <t>Phase II</t>
  </si>
  <si>
    <t>NAFTA</t>
  </si>
  <si>
    <t>Ionis Pharmaceuticals, Akcea Therapeutics</t>
  </si>
  <si>
    <t>PTC Therapeutics</t>
  </si>
  <si>
    <t>8/2018</t>
  </si>
  <si>
    <t>Tegsedi (inotersen) and Waylivra (volanesorsen) for orphan neuro and metabolic diseases in SA</t>
  </si>
  <si>
    <t>License, Supply</t>
  </si>
  <si>
    <t>SEC Redacted</t>
  </si>
  <si>
    <t>Filed, Orphan Indication</t>
  </si>
  <si>
    <t>Central Nervous System, Endocrinological &amp; Metabolic</t>
  </si>
  <si>
    <t>Other Central Nervous System, Other Endocrinological &amp; Metabolic</t>
  </si>
  <si>
    <t>Oligonucleotides</t>
  </si>
  <si>
    <t>Antisense/Triple helix</t>
  </si>
  <si>
    <t>$12M upfront for Tegsedi, per PTC's 9Q18 | mid-twenties royalties, per Akcea's 9Q18 | $4M on Brazil approval of Tegsedi, per PTC's 9Q18 | $6M on Waylivra FDA or EMA approval, plus $4M on Brazil approval, per PTC's 9Q18</t>
  </si>
  <si>
    <t>2013-20 IPOs</t>
  </si>
  <si>
    <t>NAFTA, South America</t>
  </si>
  <si>
    <t>Ardelyx</t>
  </si>
  <si>
    <t>Sanofi</t>
  </si>
  <si>
    <t>2/2014</t>
  </si>
  <si>
    <t>NaP2b phosphate transport inhibitor for kidney disease</t>
  </si>
  <si>
    <t>Co-Promotion, Development, License, Option, Termination</t>
  </si>
  <si>
    <t>Renal</t>
  </si>
  <si>
    <t>Kidney Stones, Other Renal</t>
  </si>
  <si>
    <t>$10M on option exercise, plus $186.75M in dev/reg milestones</t>
  </si>
  <si>
    <t>10/2012</t>
  </si>
  <si>
    <t>Tenapanor (RDX5791 NHE3 inhibitor) for IBS-C, end stage renal &amp; kidney disease</t>
  </si>
  <si>
    <t>Co-Development, Co-Promotion, Development, License, Option, Termination</t>
  </si>
  <si>
    <t>Gastrointestinal, Renal</t>
  </si>
  <si>
    <t>IBD - Other, Nephritis - Other, Other Renal</t>
  </si>
  <si>
    <t>9-17% royalty, plus 1-3% add'l if Ardelyx funds $20-40M of Ph III trials | $215M for constipation-related indication</t>
  </si>
  <si>
    <t>12/2009</t>
  </si>
  <si>
    <t>Amplixa (TC-5214 nicotinic channel blocker) for major depressive disorder</t>
  </si>
  <si>
    <t>Co-Development, Co-Promotion, License, Option, Research, Termination</t>
  </si>
  <si>
    <t>Psychiatric</t>
  </si>
  <si>
    <t>Depression &amp; Mania</t>
  </si>
  <si>
    <t>20% in US; 16% in ROW | 21% in US; 17% in ROW | 22.5% in US; 18.5% in ROW | 25% max US royalty; 22% in ROW | $285M for adjunct therapy | $255M for monotherapy</t>
  </si>
  <si>
    <t>Idera Pharmaceuticals</t>
  </si>
  <si>
    <t>Merck Serono, Merck KGaA</t>
  </si>
  <si>
    <t>12/2007</t>
  </si>
  <si>
    <t>IMO-2055 and IMO-2125 (TLR9 agonists) for the treatment of cancer excluding vaccines</t>
  </si>
  <si>
    <t>Development, License, Termination</t>
  </si>
  <si>
    <t>Phase II, Preclinical</t>
  </si>
  <si>
    <t>Development, License</t>
  </si>
  <si>
    <t>$700K reimb for current trials</t>
  </si>
  <si>
    <t>Theravance Biopharma</t>
  </si>
  <si>
    <t>Pfizer</t>
  </si>
  <si>
    <t>12/2019</t>
  </si>
  <si>
    <t>Topically-applied skin-selective pan-JAK inhibitors for undisclosed skin conditions</t>
  </si>
  <si>
    <t>Dermatologic</t>
  </si>
  <si>
    <t>Drug Delivery, Synthetics</t>
  </si>
  <si>
    <t>Small Molecule, Topical</t>
  </si>
  <si>
    <t>mid-single to low double-digit royalties, per Theravance's 3Q20 | $240M in agg milestones, per Theravance's 3Q20</t>
  </si>
  <si>
    <t>Dicerna Pharmaceuticals</t>
  </si>
  <si>
    <t>Roche</t>
  </si>
  <si>
    <t>10/2019</t>
  </si>
  <si>
    <t>RG6346 (DCR-HBVS) for hepatitis B</t>
  </si>
  <si>
    <t>Phase I, Discovery</t>
  </si>
  <si>
    <t>Hepatitis B</t>
  </si>
  <si>
    <t>RNAi</t>
  </si>
  <si>
    <t>up to mid-teen royalties; Dicerna has option to co-fund pivotal trials, for 20s-30s US royalties and US co-promotion rights, per Dicerna's 2019 10-K | $1.47B in agg milestones, per Dicerna's 2019 10-K</t>
  </si>
  <si>
    <t>KemPharm</t>
  </si>
  <si>
    <t>Gurnet Point, Boston Pharmaceuticals</t>
  </si>
  <si>
    <t>9/2019</t>
  </si>
  <si>
    <t>KP415 and KP484 SDX and d-MPH products for ADHD, option to KP879 and KP922</t>
  </si>
  <si>
    <t>Co-Development, License, Option</t>
  </si>
  <si>
    <t>Phase III, Preclinical</t>
  </si>
  <si>
    <t>Attention Deficit Hyperactivity Disorder</t>
  </si>
  <si>
    <t>Royalties ranging from high single digits to mid-twenties in the US and low to mid-single digits in ex-US countries, per KemPharm's 9/4/19 8-K | $63M, per KemPharm's 9/4/19 8-K | Boston reimburses 3rd party costs only</t>
  </si>
  <si>
    <t>Arrowhead Pharmaceuticals</t>
  </si>
  <si>
    <t>Johnson &amp; Johnson, Janssen</t>
  </si>
  <si>
    <t>10/2018</t>
  </si>
  <si>
    <t>ARO-HBV for hepatitis B and option for up to three additional RNAi therapeutics</t>
  </si>
  <si>
    <t>Equity, License, Option, Research</t>
  </si>
  <si>
    <t>3.26M common shares @ $23/sh | royalties to mid-teens under ARO-HBV license, and to low-teens under research collaboration, per Arrowhead's 12Q18 | $1.6B in agg milestones for ARO-HBV, plus $1.9M for three add'l targets, per Arrowhead's 12Q18</t>
  </si>
  <si>
    <t>Precision BioSciences</t>
  </si>
  <si>
    <t>Gilead</t>
  </si>
  <si>
    <t>9/2018</t>
  </si>
  <si>
    <t>7/2020</t>
  </si>
  <si>
    <t>ARCUS genome editing platform to develop HBV therapies</t>
  </si>
  <si>
    <t>License, Research, Termination</t>
  </si>
  <si>
    <t>Cell Therapy - Stem Cells/Factors</t>
  </si>
  <si>
    <t>$340M, per Precision's IPO prospectus | $40M in research funding, per Precision's IPO prospectus | high single-digit to mid-teen royalties, per Precision's IPO prospectus | $105M, per Precision's IPO prospectus</t>
  </si>
  <si>
    <t>Major Biotech</t>
  </si>
  <si>
    <t>Bayer</t>
  </si>
  <si>
    <t>Midatech, Dara Biosciences</t>
  </si>
  <si>
    <t>10/2007</t>
  </si>
  <si>
    <t>PPAR compounds (including Bay62-9069) for Type 2 diabetes &amp; dyslipidemia</t>
  </si>
  <si>
    <t>Diabetes</t>
  </si>
  <si>
    <t>$10.5M for Type 2 diabetes</t>
  </si>
  <si>
    <t>GW Pharmaceuticals</t>
  </si>
  <si>
    <t>Otsuka Pharmaceutical</t>
  </si>
  <si>
    <t>2/2007</t>
  </si>
  <si>
    <t>Sativex (cannabis-based medicinal extract) for MS, neuopathic and cancer pain in US</t>
  </si>
  <si>
    <t>Development, License, Supply, Termination</t>
  </si>
  <si>
    <t>Phase III, Orphan Indication</t>
  </si>
  <si>
    <t>Cancer, Central Nervous System</t>
  </si>
  <si>
    <t>Broad Focus Cancer, Multiple Sclerosis, Pain</t>
  </si>
  <si>
    <t>Natural Product</t>
  </si>
  <si>
    <t>Development, License, Supply</t>
  </si>
  <si>
    <t>$30.7M for 1st indication | 5% royalty (plus transfer price)</t>
  </si>
  <si>
    <t>Top Pharma, Japanese Pharma</t>
  </si>
  <si>
    <t>ev3, Covidien, Foxhollow Technologies</t>
  </si>
  <si>
    <t>9/2005</t>
  </si>
  <si>
    <t>Predictive markers for development of cardiovascular compounds &amp; tests</t>
  </si>
  <si>
    <t>Atherosclerosis/Coronary Artery Disease, Hypertension, Peripheral Arterial Disease</t>
  </si>
  <si>
    <t>Genomics</t>
  </si>
  <si>
    <t>Pharmacogenomics</t>
  </si>
  <si>
    <t>$7M for Exclusive Test</t>
  </si>
  <si>
    <t>Eiffel Technologies</t>
  </si>
  <si>
    <t>Allergan, AbbVie, MAP Pharmaceuticals</t>
  </si>
  <si>
    <t>Inhalation delivery of insulin &amp; beta-agonist with steroid</t>
  </si>
  <si>
    <t>Assignment, Development, License, Supply</t>
  </si>
  <si>
    <t>Formulation</t>
  </si>
  <si>
    <t>Endocrinological &amp; Metabolic, Respiratory</t>
  </si>
  <si>
    <t>Asthma, Chronic Obstructive Pulmonary Disease, Diabetes</t>
  </si>
  <si>
    <t>Nasal, Other</t>
  </si>
  <si>
    <t>Top Pharma, Mid Tier Pharma, 2003-12 IPOs</t>
  </si>
  <si>
    <t>AVEO Pharmaceuticals</t>
  </si>
  <si>
    <t>11/2003</t>
  </si>
  <si>
    <t>Tumor maintenance genes as small molecule oncology targets</t>
  </si>
  <si>
    <t>Equity, License, Research</t>
  </si>
  <si>
    <t>Genomics, Screening</t>
  </si>
  <si>
    <t>Gene Expression</t>
  </si>
  <si>
    <t>$5M eq at time of 4/05 restated agmt</t>
  </si>
  <si>
    <t>Jounce Therapeutics</t>
  </si>
  <si>
    <t>Bristol-Myers Squibb, Celgene</t>
  </si>
  <si>
    <t>7/2019</t>
  </si>
  <si>
    <t>JTX-8064  anti-Leukocyte Immunoglobulin Like Receptor B2 (LILRB2) antibody for cancer</t>
  </si>
  <si>
    <t>License, Restatement</t>
  </si>
  <si>
    <t>mid single-digit to low double-digit royalties, per Jounce's 2019 10-K</t>
  </si>
  <si>
    <t>Major Biotech, Top Pharma</t>
  </si>
  <si>
    <t>Zymeworks</t>
  </si>
  <si>
    <t>BeiGene</t>
  </si>
  <si>
    <t>11/2018</t>
  </si>
  <si>
    <t>Bispecific</t>
  </si>
  <si>
    <t>Asia</t>
  </si>
  <si>
    <t>10/2004</t>
  </si>
  <si>
    <t>Ketas (ibudilast) for multiple sclerosis ex-Japan, China, S Korea</t>
  </si>
  <si>
    <t>Phase II, Orphan Indication</t>
  </si>
  <si>
    <t>Multiple Sclerosis</t>
  </si>
  <si>
    <t>12% max in US; 9% max in ROW</t>
  </si>
  <si>
    <t>Euthymics Bioscience, DOV Pharmaceutical</t>
  </si>
  <si>
    <t>8/2004</t>
  </si>
  <si>
    <t>DOV 21947 &amp; 216303 for depression, anxiety and addiction</t>
  </si>
  <si>
    <t>Co-Promotion, Development, License, Termination</t>
  </si>
  <si>
    <t>Addiction, Anxiety, Depression &amp; Mania</t>
  </si>
  <si>
    <t>Shire, ViroPharma</t>
  </si>
  <si>
    <t>8/2003</t>
  </si>
  <si>
    <t>MARIBAVIR (benzimidazole) for CMV ex-Japan</t>
  </si>
  <si>
    <t>Cytomegalovirus/CMV</t>
  </si>
  <si>
    <t>Durect, Southern BioSystems</t>
  </si>
  <si>
    <t>Curaxis Pharmaceutical</t>
  </si>
  <si>
    <t>7/2002</t>
  </si>
  <si>
    <t>DURIN SR formulation of leuprolide acetate for treatment of Alzheimer's</t>
  </si>
  <si>
    <t>Development, License, Option, Supply</t>
  </si>
  <si>
    <t>Alzheimer's Disease</t>
  </si>
  <si>
    <t>Sustained Release</t>
  </si>
  <si>
    <t>Atlantic Technology</t>
  </si>
  <si>
    <t>Endo Health Solutions, Endo International, Indevus</t>
  </si>
  <si>
    <t>CT-3 (ajulemic acid) for inflammation and analgesia</t>
  </si>
  <si>
    <t>Autoimmune/Inflammatory</t>
  </si>
  <si>
    <t>Broad Focus Autoimmune/Inflammatory</t>
  </si>
  <si>
    <t>7% in US &amp; 5% in ROW</t>
  </si>
  <si>
    <t>Uriach &amp; Cie</t>
  </si>
  <si>
    <t>9/2001</t>
  </si>
  <si>
    <t>Dersalazine for inflammatory bowel disease</t>
  </si>
  <si>
    <t>Co-Market, License, Option</t>
  </si>
  <si>
    <t>Gastrointestinal</t>
  </si>
  <si>
    <t>IBD - Crohn's Disease, IBD - Ulcerative Colitis</t>
  </si>
  <si>
    <t>7% in US &amp; 6% in ROW</t>
  </si>
  <si>
    <t>Ionis Pharmaceuticals</t>
  </si>
  <si>
    <t>Lilly</t>
  </si>
  <si>
    <t>Discovery of antisense compounds for inflammation, bone disorders, diabetes and obesity</t>
  </si>
  <si>
    <t>Equity, License, Loan, Research</t>
  </si>
  <si>
    <t>Autoimmune/Inflammatory, Bone Disease, Endocrinological &amp; Metabolic</t>
  </si>
  <si>
    <t>Broad Focus Autoimmune/Inflammatory, Broad Focus Bone Disease, Diabetes, Obesity</t>
  </si>
  <si>
    <t>$19.25M-30M, depending on Stage of ASO Target | $75M @ $18/sh | Approx 200 ISIS FTEs over 4 yrs | $100M repayable in eq @ $40/sh</t>
  </si>
  <si>
    <t>5/2001</t>
  </si>
  <si>
    <t>ISIS 113715 &amp; 107772 for Type 2 diabetes and obesity</t>
  </si>
  <si>
    <t>Diabetes, Obesity</t>
  </si>
  <si>
    <t>Silence Therapeutics</t>
  </si>
  <si>
    <t>3/2020</t>
  </si>
  <si>
    <t>RNAi therapeutics for cardio, renal, metabolic &amp; respiratory diseases</t>
  </si>
  <si>
    <t>Cardiovascular, Endocrinological &amp; Metabolic, Renal, Respiratory</t>
  </si>
  <si>
    <t>Broad Focus Cardiovascular, Broad Focus Endocrinological &amp; Metabolic, Broad Focus Renal, Broad Focus Respiratory</t>
  </si>
  <si>
    <t>$20M at signing, plus $40M by 1H21 | $250M/target | $20M for 4.2M shares, per Silence's IPO prospectus | high single-digit to low double-digit royalty, per Silence's IPO prospectus | $10M option exercise plus $140M dev/reg per target | $150M for each of 4 add'l targets</t>
  </si>
  <si>
    <t>Chimerix</t>
  </si>
  <si>
    <t>SymBio Pharmaceuticals</t>
  </si>
  <si>
    <t>BCV (brincidofovir) for all indications except smallpox</t>
  </si>
  <si>
    <t>Broad Focus Infectious-Viral</t>
  </si>
  <si>
    <t>low double-digit royalty, per Chimerix's 2019 10-K | $180M in agg milestones, per Chimerix's 2019 10-K</t>
  </si>
  <si>
    <t>Children's Hospital of Philadelphia, University of Pennsylvania</t>
  </si>
  <si>
    <t>Cabaletta Bio</t>
  </si>
  <si>
    <t>4/2018</t>
  </si>
  <si>
    <t>DSG3-CAART therapy for B cell-mediated autoimmune diseases</t>
  </si>
  <si>
    <t>Preclinical, Orphan Indication</t>
  </si>
  <si>
    <t>Other Autoimmune/Inflammatory</t>
  </si>
  <si>
    <t>$8.5M over 3 yrs | low single digit royalty, per Cabaletta's IPO prospectus | $20M in agg milestones, per Cabaletta's IPO prospectus | 481K common shares, with FMV of $1.2M, per Cabaletta's IPO prospectus</t>
  </si>
  <si>
    <t>Arvinas</t>
  </si>
  <si>
    <t>6/2019</t>
  </si>
  <si>
    <t>PROTAC protein degrader technology for cardiovascular, oncology and gynecologic diseases</t>
  </si>
  <si>
    <t>Cancer, Cardiovascular, Genitourinary/Gynecologic</t>
  </si>
  <si>
    <t>Broad Focus Cancer, Broad Focus Cardiovascular, Broad Focus Genitourinary/Gynecologic</t>
  </si>
  <si>
    <t>$490M, per Arvinas' 3Q20 | $12M R&amp;D funding thru 2022, per Arvinas' 3Q20 | Mid-single to low double-digit royalties, per Arvinas' 3Q20 | $197.5M, per Arvinas' 3Q20 | $32.5M at 115% of FMV</t>
  </si>
  <si>
    <t>Panion &amp; BF</t>
  </si>
  <si>
    <t>Akebia Therapeutics, Keryx Biopharmaceuticals</t>
  </si>
  <si>
    <t>11/2005</t>
  </si>
  <si>
    <t>Zerenex (ferric citrate) for hyperphosphatemia in end stage renal disease ex-Asian Pacific</t>
  </si>
  <si>
    <t>Other Renal</t>
  </si>
  <si>
    <t>$350K to reimb 50% of current Ph II</t>
  </si>
  <si>
    <t>2013-20 IPOs, 1991-2001 IPOs</t>
  </si>
  <si>
    <t>Lantheus Medical Imaging, Progenics Pharmaceuticals</t>
  </si>
  <si>
    <t>4/2016</t>
  </si>
  <si>
    <t>PSMA antibody Conjugated with targeted thorium for prostate cancer</t>
  </si>
  <si>
    <t>Prostate</t>
  </si>
  <si>
    <t>Conjugates, Human Abs</t>
  </si>
  <si>
    <t>Oncternal Therapeutics, GTx</t>
  </si>
  <si>
    <t>Ostarine (selective androgen receptor modulator) for cancer-related muscle loss</t>
  </si>
  <si>
    <t>Co-Development, Co-Promotion, Equity, License, Research, Termination</t>
  </si>
  <si>
    <t>Phase II, Preclinical, Lead Molecule</t>
  </si>
  <si>
    <t>Cancer, Endocrinological &amp; Metabolic</t>
  </si>
  <si>
    <t>Other Cancer, Other Endocrinological &amp; Metabolic</t>
  </si>
  <si>
    <t>1.285M common shares @ $23.34/sh (see Equity agmt) | $5M in R&amp;D funding/yr for 3 yrs | $60M for Ostarine for Cancer Cachexia | $220M for sarcopenia; $142M add'l for cancer cachexia; $85M for any other indication</t>
  </si>
  <si>
    <t>Japan Tobacco, Torii Pharmaceutical</t>
  </si>
  <si>
    <t>9/2007</t>
  </si>
  <si>
    <t>Auryxia/Riona (ferric citrate) for hyperphosphatemia in Japan</t>
  </si>
  <si>
    <t>Endocrinological &amp; Metabolic, Renal</t>
  </si>
  <si>
    <t>Other Endocrinological &amp; Metabolic, Other Renal</t>
  </si>
  <si>
    <t>University of Maastricht</t>
  </si>
  <si>
    <t>BG Medicine Inc.</t>
  </si>
  <si>
    <t>5/2007</t>
  </si>
  <si>
    <t>Biomarker-based molecular diagnostic test as a prognostic indicator of congestive heart failure</t>
  </si>
  <si>
    <t>Diagnostic</t>
  </si>
  <si>
    <t>Congestive Heart Failure</t>
  </si>
  <si>
    <t>Diagnostics</t>
  </si>
  <si>
    <t>Nuada</t>
  </si>
  <si>
    <t>12/2006</t>
  </si>
  <si>
    <t>Peptidase inhibitors</t>
  </si>
  <si>
    <t>Unlimited</t>
  </si>
  <si>
    <t>Peptides</t>
  </si>
  <si>
    <t>Alnylam</t>
  </si>
  <si>
    <t>7/2006</t>
  </si>
  <si>
    <t>RNAi for nine non-druggable targets</t>
  </si>
  <si>
    <t>Co-Development, Co-Promotion, License, Option, Research, Restatement, Termination</t>
  </si>
  <si>
    <t>10-15% ROW royalty for RNAi Products; 5-10% on Merck Development Products | $30.5M for Opt-out RNAi Product; $5.5M for Profit Sharing RNAi Product; $7.5M on Merck's Opt-in for RHOA Product | 50/50 PS on Profit Sharing RNAi Products in US | $41M for Merck Development Products</t>
  </si>
  <si>
    <t>Dainippon Sumitomo</t>
  </si>
  <si>
    <t>Lundbeck A/S, Chelsea Therapeutics</t>
  </si>
  <si>
    <t>5/2006</t>
  </si>
  <si>
    <t>L-Threo DOPS (Droxidopa) for neurogenic orthostatic hypotension ex-Japan, Korea and China</t>
  </si>
  <si>
    <t>Equity, License, Supply</t>
  </si>
  <si>
    <t>Approved, Orphan Indication</t>
  </si>
  <si>
    <t>Other Central Nervous System</t>
  </si>
  <si>
    <t>Targanta Therapeutics, The Medicines Company, InterMune, Novartis, Melinta Therapeutics</t>
  </si>
  <si>
    <t>12/2005</t>
  </si>
  <si>
    <t>Orbactiv (oritavancin) for bacterial skin infections</t>
  </si>
  <si>
    <t>Asset Purchase, License, Restatement</t>
  </si>
  <si>
    <t>Approved</t>
  </si>
  <si>
    <t>Other Infectious-Bacterial</t>
  </si>
  <si>
    <t>$2M to InterMune plus $1M to Lilly (per 12/05 Asset Agmt) | $15M to Lilly | 10-18% royalty to Lilly | $13M convertible note from Targanta to InterMune (per 12/05 Asset Agmt) | $10M to Lilly for 1st indication | $10M to LIlly for 2nd indication; $19M to InterMune (per 12/05 Asset Agmt)</t>
  </si>
  <si>
    <t>Top Pharma, 2003-12 IPOs, 1991-2001 IPOs</t>
  </si>
  <si>
    <t>Fennec Pharmaceuticals</t>
  </si>
  <si>
    <t>7/2005</t>
  </si>
  <si>
    <t>Eniluracil for oncology ex-Europe &amp; Africa and Exherin (ADH-1 targeting N-cadherin) WW option</t>
  </si>
  <si>
    <t>Development, Equity, License, Option</t>
  </si>
  <si>
    <t>Peptides, Synthetics</t>
  </si>
  <si>
    <t>Development, License, Option</t>
  </si>
  <si>
    <t>13-15% royalty if GSK exercises latest take-back; otherwise, 8-9% or 11-13% on earlier take-backs | $3M, $10M or $60M in milestones on GSK take-back, depending on stage ($15M by Adherex if no take-back)</t>
  </si>
  <si>
    <t>Asia, Middle East, NAFTA, South America</t>
  </si>
  <si>
    <t>Bukwang Pharmaceuticals</t>
  </si>
  <si>
    <t>Gilead, Pharmasset</t>
  </si>
  <si>
    <t>6/2005</t>
  </si>
  <si>
    <t>Clevudine (L-FMAU) for chronic HBV in NAFTA, Europe, SA &amp; Israel</t>
  </si>
  <si>
    <t>Phase III</t>
  </si>
  <si>
    <t>14% royalty (12% if licensed to one of top 100 pharma companies by sales)</t>
  </si>
  <si>
    <t>Major Biotech, 2003-12 IPOs</t>
  </si>
  <si>
    <t>Europe, Middle East, NAFTA, South America</t>
  </si>
  <si>
    <t>AMP-activated protein kinase for metabolic diseases</t>
  </si>
  <si>
    <t>Co-Promotion, Development, License, Option, Research</t>
  </si>
  <si>
    <t>Diabetes, Obesity, Other Endocrinological &amp; Metabolic</t>
  </si>
  <si>
    <t>Combinatorial</t>
  </si>
  <si>
    <t>Gilead, Myogen</t>
  </si>
  <si>
    <t>Volibris (ambrisentan) for PAH ex-US</t>
  </si>
  <si>
    <t>Hypertension</t>
  </si>
  <si>
    <t>Cleveland Clinic</t>
  </si>
  <si>
    <t>Cleveland BioLabs</t>
  </si>
  <si>
    <t>7/2004</t>
  </si>
  <si>
    <t>Differential modulation cell death / survival mechanisms of cancer cells</t>
  </si>
  <si>
    <t>Equity, License</t>
  </si>
  <si>
    <t>SEC Full</t>
  </si>
  <si>
    <t>$1.5M for biodefense uses | $6.5M for all other uses</t>
  </si>
  <si>
    <t>Johnson &amp; Johnson, Ortho Biotech</t>
  </si>
  <si>
    <t>3/2004</t>
  </si>
  <si>
    <t>Andarine SARM (Selective Androgen Receptor Modulator) for cancer-induced cachexia</t>
  </si>
  <si>
    <t>Broad Focus Cancer, Other Endocrinological &amp; Metabolic</t>
  </si>
  <si>
    <t>25% Additional Royalty on sales by GTx to Urologists in the US from Co-promotion</t>
  </si>
  <si>
    <t>Ligand, Neurogen</t>
  </si>
  <si>
    <t>Novel modulators of Vanilloid Receptors (VR1) for Pain &amp; Incontinence</t>
  </si>
  <si>
    <t>Equity, License, Research, Termination</t>
  </si>
  <si>
    <t>Central Nervous System, Genitourinary/Gynecologic</t>
  </si>
  <si>
    <t>Incontinence, Pain</t>
  </si>
  <si>
    <t>Recombinant DNA</t>
  </si>
  <si>
    <t>9/2003</t>
  </si>
  <si>
    <t>RNAi technology for non-druggable targets</t>
  </si>
  <si>
    <t>Co-Development, Co-Promotion, Equity, License, Option, Research, Termination</t>
  </si>
  <si>
    <t>10-15% ROW royalty for RNAi Products; 5-8% on Merck Products | 50/50 PS on Profit Sharing RNAi Products in US</t>
  </si>
  <si>
    <t>Antares</t>
  </si>
  <si>
    <t>Needle free drug delivery for diabetes and obesity in US</t>
  </si>
  <si>
    <t>Other</t>
  </si>
  <si>
    <t>NAFTA, Worldwide</t>
  </si>
  <si>
    <t>Baxter</t>
  </si>
  <si>
    <t>Molecular Templates, Threshold Pharmaceuticals</t>
  </si>
  <si>
    <t>Glufosfamide for treatment of cancer</t>
  </si>
  <si>
    <t>Pancreatic, Solid Tumors</t>
  </si>
  <si>
    <t>Roche, InterMune</t>
  </si>
  <si>
    <t>Oritavancin (LLY 333328) glycopeptide as antibiotic</t>
  </si>
  <si>
    <t>Asset Purchase, License, Termination</t>
  </si>
  <si>
    <t>Dr. Falk Pharma</t>
  </si>
  <si>
    <t>1/2001</t>
  </si>
  <si>
    <t>TC240312 nicotinic agonist for ulcerative colitis in Europe, Israel &amp; Egypt</t>
  </si>
  <si>
    <t>Co-Development, Equity, License</t>
  </si>
  <si>
    <t>Broad Focus Gastrointestinal, Broad Focus Renal, IBD - Ulcerative Colitis</t>
  </si>
  <si>
    <t>Europe, Middle East</t>
  </si>
  <si>
    <t>Proteostasis Therapeutics</t>
  </si>
  <si>
    <t>Roche, Genentech</t>
  </si>
  <si>
    <t>12/2018</t>
  </si>
  <si>
    <t>Small molecule modulators for undisclosed target</t>
  </si>
  <si>
    <t>low single-digit royalties, per Proteostasis' 2018 10-K | $96M in agg milestones, per Proteostasis' 2018 10-K</t>
  </si>
  <si>
    <t>Azymetric and EFECT platforms for up to three bispecific antibodies for BeiGene selected targets</t>
  </si>
  <si>
    <t>$20M for Azymetric and EFECT agreement | $702M in development and commercial milestones for up to three bispecific product candidates under platform agreement.</t>
  </si>
  <si>
    <t>Collplant</t>
  </si>
  <si>
    <t>United Therapeutics, Lung Biotechnology</t>
  </si>
  <si>
    <t>hCollagen-based BioInk for 3D bioprinted lung transplants with option to 3 additional organs</t>
  </si>
  <si>
    <t>License, Option, Supply</t>
  </si>
  <si>
    <t>Transplantation</t>
  </si>
  <si>
    <t>Organ/Tissue Transplants</t>
  </si>
  <si>
    <t>Collagen matrix, Recombinant DNA</t>
  </si>
  <si>
    <t>Option exercise payments up to $9 million, $15M in additional development milestones for other manufactured organs</t>
  </si>
  <si>
    <t>Acer Therapeutics, Opexa Therapeutics</t>
  </si>
  <si>
    <t>Merck KGaA, Merck Serono</t>
  </si>
  <si>
    <t>2/2013</t>
  </si>
  <si>
    <t>Tcelna (imilecleucel-T) autologous T-cell therapy for multiple sclerosis ex-Japan</t>
  </si>
  <si>
    <t>Co-Development, License, Option, Supply</t>
  </si>
  <si>
    <t>Cell Therapy - Stem Cells/Factors, Vaccines</t>
  </si>
  <si>
    <t>$5M option fee | 8-15% royalty, increased to 10-18% if Opexa pays 33% of 1st indication | $25M option exercise, plus $70M dev/reg 1st | $40M for relapsing remitting MS indication</t>
  </si>
  <si>
    <t>Novartis, Endocyte</t>
  </si>
  <si>
    <t>4/2012</t>
  </si>
  <si>
    <t>Vintafolide (EC145) folate conjugate for lung &amp; ovarian cancer</t>
  </si>
  <si>
    <t>Co-Development, Co-Promotion, License, Option, Termination</t>
  </si>
  <si>
    <t>Lung, Ovarian</t>
  </si>
  <si>
    <t>Endocyte pays 75% of PROC (ovarian) Ph III plus 100% of Companion Diagnostic; Merck pays all other dev costs | 14-20% ex-US royalty | $47.5M for Ovarian (PROC) | $60M for Lung; $274N for Other Indications | 50% PS in US</t>
  </si>
  <si>
    <t>Top Pharma, 2003-12 IPOs</t>
  </si>
  <si>
    <t>Children’s Cancer Institute Australia</t>
  </si>
  <si>
    <t>Cleveland BioLabs, Panacela Labs</t>
  </si>
  <si>
    <t>9/2011</t>
  </si>
  <si>
    <t>Small Molecules Inhibiting Oncoprotein MYC for solid tumor treatment</t>
  </si>
  <si>
    <t>Equity, License, Option</t>
  </si>
  <si>
    <t>2% of OS shares at signing</t>
  </si>
  <si>
    <t>Daiichi Sankyo, Ambit Biosciences</t>
  </si>
  <si>
    <t>Astellas Pharma</t>
  </si>
  <si>
    <t>AC220 (quizartinib FLT3 kinase inhibitor) for acute myeloid leukemia</t>
  </si>
  <si>
    <t>Co-Development, Co-Promotion, License, Research, Termination</t>
  </si>
  <si>
    <t>Leukemia</t>
  </si>
  <si>
    <t>12-22% ex-US royalty | $140M for AML | $100M for add'l oncology, plus $70M for non-oncology indications | 50/50 PS in US if co-promote</t>
  </si>
  <si>
    <t>Ligand</t>
  </si>
  <si>
    <t>12/2008</t>
  </si>
  <si>
    <t>LGD-4665 thrombopoietin mimetic for treatment of thrombocytopenia</t>
  </si>
  <si>
    <t>Hematologic</t>
  </si>
  <si>
    <t>Thrombocytopenia</t>
  </si>
  <si>
    <t>8% for first yr, then 16% thereafter</t>
  </si>
  <si>
    <t>Actavis, Allergan, AbbVie, MAP Pharmaceuticals</t>
  </si>
  <si>
    <t>Unit Dose Budesonide for pediatric asthma</t>
  </si>
  <si>
    <t>Phase III, Formulation</t>
  </si>
  <si>
    <t>Respiratory</t>
  </si>
  <si>
    <t>Asthma</t>
  </si>
  <si>
    <t>30% US max rate; 20% ROW max rate</t>
  </si>
  <si>
    <t>SurModics</t>
  </si>
  <si>
    <t>6/2007</t>
  </si>
  <si>
    <t>I-vation SR delivery of triamcinolone acetonide and KDR kinase inhibitors for macular edema &amp; AMD</t>
  </si>
  <si>
    <t>Phase I, Lead Molecule, Formulation</t>
  </si>
  <si>
    <t>Ophthalmic</t>
  </si>
  <si>
    <t>Broad Focus Ophthalmic, Age-Related Macular Degeneration</t>
  </si>
  <si>
    <t>9% for TA Product; 4-8% for KDR Product or Other Target(s) | SurModic's Profit of 65% over Economic Cost (see Supply agmt)</t>
  </si>
  <si>
    <t>Pfizer, Coley Pharmaceutical</t>
  </si>
  <si>
    <t>4/2007</t>
  </si>
  <si>
    <t>VaxImmune adjuvant for use in vaccines</t>
  </si>
  <si>
    <t>Adjuvant, Vaccines</t>
  </si>
  <si>
    <t>Otsuka Pharmaceutical, Avanir Pharmaceuticals</t>
  </si>
  <si>
    <t>3/2007</t>
  </si>
  <si>
    <t>AZD2479 reverse cholesterol transport (RCT) compounds</t>
  </si>
  <si>
    <t>Co-Promotion, License, Research, Termination</t>
  </si>
  <si>
    <t>Preclinical, Discovery</t>
  </si>
  <si>
    <t>Broad Focus Cardiovascular, Hypercholesterolemia</t>
  </si>
  <si>
    <t>14 FTEs yr1; 10-15 FTEs/yr for yrs 2-3</t>
  </si>
  <si>
    <t>Kissei Pharmaceutical</t>
  </si>
  <si>
    <t>2/2004</t>
  </si>
  <si>
    <t>MN-221 (KUR-1246) to treat premature labor ex-Japan</t>
  </si>
  <si>
    <t>Co-Promotion, License, Supply</t>
  </si>
  <si>
    <t>Genitourinary/Gynecologic</t>
  </si>
  <si>
    <t>Other Genitourinary/Gynecologic</t>
  </si>
  <si>
    <t>Anesiva</t>
  </si>
  <si>
    <t>Bristol-Myers Squibb</t>
  </si>
  <si>
    <t>E2F Decoy transcription factor for restenosis &amp; atherosclerosis</t>
  </si>
  <si>
    <t>Co-Development, Co-Promotion, Equity, License</t>
  </si>
  <si>
    <t>Atherosclerosis/Coronary Artery Disease, Restenosis</t>
  </si>
  <si>
    <t>Transcription Factors</t>
  </si>
  <si>
    <t>Sanofi, Aventis</t>
  </si>
  <si>
    <t>4/2003</t>
  </si>
  <si>
    <t>Aminocandin for fungal infections</t>
  </si>
  <si>
    <t>License, Option</t>
  </si>
  <si>
    <t>Infectious-Miscellaneous</t>
  </si>
  <si>
    <t>Fungal</t>
  </si>
  <si>
    <t>8-10% in US; 6-7.5% in ROW | $22.5M in dev/reg milestones for first IV formulation | $34.5M in dev/reg milestones for first oral formulation</t>
  </si>
  <si>
    <t>Johnson &amp; Johnson, ALZA</t>
  </si>
  <si>
    <t>Durect</t>
  </si>
  <si>
    <t>Duros delivery of sufentanil forpain &amp; other CNS compounds</t>
  </si>
  <si>
    <t>Pain</t>
  </si>
  <si>
    <t>Implantable Device</t>
  </si>
  <si>
    <t>2.5-5% royalty, depending on prior year's sales</t>
  </si>
  <si>
    <t>Sunesis Pharmaceuticals</t>
  </si>
  <si>
    <t>5/2002</t>
  </si>
  <si>
    <t>Small molecule enzyme inhibitors of Cathepsin S, E, F for the treatment of inflammation</t>
  </si>
  <si>
    <t>$2,55M for 2 yrs, plus add'l $3.25M per 12/04 extension</t>
  </si>
  <si>
    <t>Pfizer, Pharmacia</t>
  </si>
  <si>
    <t>Celgene, Bristol-Myers Squibb, Pharmion</t>
  </si>
  <si>
    <t>6/2001</t>
  </si>
  <si>
    <t>5-azacytidine for treatment of myelodysplastic syndrome</t>
  </si>
  <si>
    <t>Other Cancer</t>
  </si>
  <si>
    <t>Major Biotech, Top Pharma, 2003-12 IPOs</t>
  </si>
  <si>
    <t>Queen’s University</t>
  </si>
  <si>
    <t>Taysha Gene Therapies</t>
  </si>
  <si>
    <t>2/2020</t>
  </si>
  <si>
    <t>TSHA-101 (bicistronic tansgene AAV9 vector) for GM2 gangliosidosis</t>
  </si>
  <si>
    <t>Lysosomal Storage Disorders, Other Central Nervous System</t>
  </si>
  <si>
    <t>Gene Therapy</t>
  </si>
  <si>
    <t>$10M, per Taysha's IPO prospectus | low single-digit royalties, per Taysha's IPO prospectus</t>
  </si>
  <si>
    <t>Catalyst Biosciences</t>
  </si>
  <si>
    <t>Biogen</t>
  </si>
  <si>
    <t>CB 2782-PEG  (anti-C3 protease) to treat dry age-related macular degeneration</t>
  </si>
  <si>
    <t>Age-Related Macular Degeneration</t>
  </si>
  <si>
    <t>PEG Products</t>
  </si>
  <si>
    <t>mid-single to low double-digit royalties, per Catalyst's 2019 10-K | $340M in agg milestones, per Catalyst's 2019 10-K</t>
  </si>
  <si>
    <t>Pulmatrix</t>
  </si>
  <si>
    <t>Johnson &amp; Johnson</t>
  </si>
  <si>
    <t>RV1162/PUR1800 (kinase inhibitors)  with inhaled iSPERSE delivery for COPD</t>
  </si>
  <si>
    <t>Phase I, Formulation</t>
  </si>
  <si>
    <t>Cancer, Respiratory</t>
  </si>
  <si>
    <t>Chronic Obstructive Pulmonary Disease, Lung</t>
  </si>
  <si>
    <t>$45M, per Pulmatrix' 2019 10-K | J&amp;J pays $3.4M for tox study, per Pulmatrix' 2019 10-K; other dev cost pre-option are shared | 1-2% royalty, per Pulmatrix' 2019 10-K | $14M on option exercise, plus $34M in dev/reg milestones, per Pulmatrix' 2019 10-K</t>
  </si>
  <si>
    <t>Blueprint Medicines</t>
  </si>
  <si>
    <t>Ipsen, Clementia Pharmaceuticals</t>
  </si>
  <si>
    <t>BLU-782 (ALK2 inhibitor) for fibrodysplasia ossificans progressiva</t>
  </si>
  <si>
    <t>Phase I, Orphan Indication</t>
  </si>
  <si>
    <t>Other/Miscellaneous</t>
  </si>
  <si>
    <t>Genetic Disorders</t>
  </si>
  <si>
    <t>low- to mid-teen royalty, per Blueprint's 9Q19 | $510M in agg milestones, per Blueprint's 9Q19</t>
  </si>
  <si>
    <t>Mid Tier Pharma, 2013-20 IPOs</t>
  </si>
  <si>
    <t>Lpath</t>
  </si>
  <si>
    <t>Sonepcizumab ( sphingosine-I-phosphate antibody) for solid tumors &amp; MS</t>
  </si>
  <si>
    <t>Multiple Sclerosis, Solid Tumors</t>
  </si>
  <si>
    <t>Humanized Abs</t>
  </si>
  <si>
    <t>$500K/month for 1 yr</t>
  </si>
  <si>
    <t>Macrolide</t>
  </si>
  <si>
    <t>Melinta Therapeutics, Cempra</t>
  </si>
  <si>
    <t>1/2016</t>
  </si>
  <si>
    <t>Methods of synthesizing solithromycin ex-Asean</t>
  </si>
  <si>
    <t>License, Option, Research, Termination</t>
  </si>
  <si>
    <t>$1.5M over 18 months</t>
  </si>
  <si>
    <t>BioVascular</t>
  </si>
  <si>
    <t>Galena Biopharma, Sellas Life Sciences Group, Mills Pharmaceuticals</t>
  </si>
  <si>
    <t>12/2013</t>
  </si>
  <si>
    <t>CR formulation of anagrelide for cancer &amp; cardio</t>
  </si>
  <si>
    <t>Cancer, Cardiovascular</t>
  </si>
  <si>
    <t>Leukemia, Myocardial Infarction</t>
  </si>
  <si>
    <t>Controlled Release</t>
  </si>
  <si>
    <t>$6.95M for Cardio Field</t>
  </si>
  <si>
    <t>Eukaryotic initiation factor 4E (LLY2275796  eIF-4E antisense compound) for cancer</t>
  </si>
  <si>
    <t>Colorectal</t>
  </si>
  <si>
    <t>$30-50M on license option exercise</t>
  </si>
  <si>
    <t>Dainippon Sumitomo, Sunovion Pharmaceuticals</t>
  </si>
  <si>
    <t>Lunivia (eszopiclone) for treatment of insomnia ex-NAFTA and Japan</t>
  </si>
  <si>
    <t>Distribution, License, Termination</t>
  </si>
  <si>
    <t>Filed</t>
  </si>
  <si>
    <t>Sleep Disorders</t>
  </si>
  <si>
    <t>Oral</t>
  </si>
  <si>
    <t>Africa, Asia, Europe, Middle East, South America</t>
  </si>
  <si>
    <t>SLA Pharma</t>
  </si>
  <si>
    <t>Assembly BioSciences</t>
  </si>
  <si>
    <t>Anoheal (topical diltiazem) &amp; Incostop (topical phenylephrine) for pain from anal fissures</t>
  </si>
  <si>
    <t>Development, Equity, License</t>
  </si>
  <si>
    <t>Topical</t>
  </si>
  <si>
    <t>5% of OS shares of Licensee | $83K/month for 2 yrs plus $4M for EU clinical costs | $7.125M for Anoheal | $13.125 for Incostop</t>
  </si>
  <si>
    <t>InterMune</t>
  </si>
  <si>
    <t>Danoprevir (ITMN-191) cyclic macrocycle for HCV</t>
  </si>
  <si>
    <t>Co-Development, Co-Promotion, License, Termination</t>
  </si>
  <si>
    <t>Merck, Idenix Pharmaceuticals</t>
  </si>
  <si>
    <t>HepDirect liver-targeting technology  for HCV</t>
  </si>
  <si>
    <t>Development, License, Research</t>
  </si>
  <si>
    <t>Adare Pharmaceuticals, Eurand</t>
  </si>
  <si>
    <t>8/2006</t>
  </si>
  <si>
    <t>Diffucaps CR formulation of ZENVIA for pain</t>
  </si>
  <si>
    <t>Preclinical, Formulation</t>
  </si>
  <si>
    <t>Nektar Therapeutics</t>
  </si>
  <si>
    <t>6/2004</t>
  </si>
  <si>
    <t>SEDS Inhalation technology for dihydroergotamine mesylate for migraine</t>
  </si>
  <si>
    <t>Migraine</t>
  </si>
  <si>
    <t>Cedars-Sinai Medical Center</t>
  </si>
  <si>
    <t>Salix Pharmaceuticals</t>
  </si>
  <si>
    <t>6/2006</t>
  </si>
  <si>
    <t>Rifaximin for treatment of IBS</t>
  </si>
  <si>
    <t>Bowel Movement Disorders, IBD - Other</t>
  </si>
  <si>
    <t>Neuronal nicotinic receptors, including TC-1734 for Alzheimer's and cognitive dysfunction</t>
  </si>
  <si>
    <t>Co-Promotion, Development, License, Option, Research, Termination</t>
  </si>
  <si>
    <t>Phase II, Discovery</t>
  </si>
  <si>
    <t>Central Nervous System, Psychiatric</t>
  </si>
  <si>
    <t>Alzheimer's Disease, Schizophrenia</t>
  </si>
  <si>
    <t>$26.4M over 4 yrs | IND: $10M on Option Compound exercise, plus $75M dev/reg;  POC:  $42M on exercies, plus $130M dev/reg</t>
  </si>
  <si>
    <t>Foghorn Therapeutics</t>
  </si>
  <si>
    <t>Gene Traffic Control platform to discover oncology therapeutics against transcription factor target</t>
  </si>
  <si>
    <t>Co-Development, License, Research</t>
  </si>
  <si>
    <t>$165M per product, per Foghorn's IPO prospectus | mid-single digit to low teen royalties, per Foghorn's IPO prospectus | $245M per Foghorn's IPO prospectus</t>
  </si>
  <si>
    <t>RNAi VEGF for ocular diseases</t>
  </si>
  <si>
    <t>Broad Focus Ophthalmic</t>
  </si>
  <si>
    <t>Bristol-Myers Squibb, Kosan Biosciences</t>
  </si>
  <si>
    <t>9/2002</t>
  </si>
  <si>
    <t>KOS-862 (Epothilone D)  as anti-cancer agent</t>
  </si>
  <si>
    <t>$55M for add'l indications; $6M for successful patent interference &amp; $2M for manu tech transfer</t>
  </si>
  <si>
    <t>Top Pharma, 1991-2001 IPOs</t>
  </si>
  <si>
    <t>Bioprogress Technology</t>
  </si>
  <si>
    <t>Bristol-Myers Squibb, ConvaTec</t>
  </si>
  <si>
    <t>8/2002</t>
  </si>
  <si>
    <t>Drainage bag for bodily waste</t>
  </si>
  <si>
    <t>Device</t>
  </si>
  <si>
    <t>Stiefel, GlaxoSmithKline, Barrier Therapeutics</t>
  </si>
  <si>
    <t>Sporamelt (oral itraconazole) and Seboride (ketoconazole) antifungals and other derm compounds</t>
  </si>
  <si>
    <t>Phase III, Phase II, Phase I, Preclinical</t>
  </si>
  <si>
    <t>Dermatologic, Infectious-Miscellaneous</t>
  </si>
  <si>
    <t>Actinic Keratosis, Fungal, Wound Healing</t>
  </si>
  <si>
    <t>AltaRex</t>
  </si>
  <si>
    <t>United Therapeutics</t>
  </si>
  <si>
    <t>4/2002</t>
  </si>
  <si>
    <t>OvaReX, BrevaReX, ProstaRex, AR54 and GivaRex therapeutic antibodies ex-Europe &amp; Mideast</t>
  </si>
  <si>
    <t>Phase III, Phase II</t>
  </si>
  <si>
    <t>Autoimmune/Inflammatory, Cancer</t>
  </si>
  <si>
    <t>Broad Focus Autoimmune/Inflammatory, Broad Focus Cancer</t>
  </si>
  <si>
    <t>Africa, Asia, Europe, NAFTA, South America</t>
  </si>
  <si>
    <t>Johnson &amp; Johnson, 3-Dimensional Pharmaceuticals</t>
  </si>
  <si>
    <t>12/2001</t>
  </si>
  <si>
    <t>DiscoverWorks to BACE &amp; AKT targets</t>
  </si>
  <si>
    <t>Broad Focus Cancer, Alzheimer's Disease</t>
  </si>
  <si>
    <t>Merck, Cubist</t>
  </si>
  <si>
    <t>Cubicin (daptomycin) for bacterial infections in Europe</t>
  </si>
  <si>
    <t>Co-Development, Co-Promotion, Distribution, Termination</t>
  </si>
  <si>
    <t>Europe</t>
  </si>
  <si>
    <t>Pralsetinib RET inhibitor ex-China (co-exclusive rights in US), option to addt'l RET compound</t>
  </si>
  <si>
    <t>Co-Development, Co-Promotion, Equity, License, Option, Supply</t>
  </si>
  <si>
    <t>Lung, Solid Tumors, Other Cancer</t>
  </si>
  <si>
    <t>$100M equity investment priced at $96.57 per share | High teen to mid-twenties royalties in ROW, per Blueprint's 6Q20 | $927M in agg milestones, per Blueprint's 6Q20 | 50% PS in US</t>
  </si>
  <si>
    <t>Censa Pharmaceuticals</t>
  </si>
  <si>
    <t>5/2020</t>
  </si>
  <si>
    <t>Acquisition for cash and shares</t>
  </si>
  <si>
    <t>Acquisition, CVR</t>
  </si>
  <si>
    <t>Endocrinological &amp; Metabolic, Other/Miscellaneous</t>
  </si>
  <si>
    <t>Genetic Disorders, Other Endocrinological &amp; Metabolic</t>
  </si>
  <si>
    <t>$160M, per PTC's 6Q20 | 845K PTC shares, per PTC's 6Q20 | Single-digit to low double-digit royalties, per PTC's 6Q20 | $217.5M for two lead products, including $30M on completion of Ph III enrollment for PKU, per PTC's 6Q20 | $109M for add'l indications, per PTC's 6Q20</t>
  </si>
  <si>
    <t>AbbVie</t>
  </si>
  <si>
    <t>Aduro BioTech, Chinook Therapeutics</t>
  </si>
  <si>
    <t>Atrasentan (endothelin receptor antagonist) for chronic kidney disease</t>
  </si>
  <si>
    <t>Broad Focus Renal</t>
  </si>
  <si>
    <t>6.8M Chinook shares with FMV of $6.7M, per Aduro's 7/20 S-4 | upper single-digit to high-teen royalties, per Aduro's 7/20 S-4 | $135M in agg milestones, per Aduro's 7/20 S-4</t>
  </si>
  <si>
    <t>Sutro Biopharma</t>
  </si>
  <si>
    <t>7/2018</t>
  </si>
  <si>
    <t>Cell-free protein synthesis &amp; site-specific conjugation platform for cancer &amp; autoimmune diseases</t>
  </si>
  <si>
    <t>Equity, License, Option, Research, Supply</t>
  </si>
  <si>
    <t>Conjugates</t>
  </si>
  <si>
    <t>$10M at IPO, per Sutro's IPO prospectus | Mid-single digit to low teen royalties, per Sutro's IPO prospectus | $1.6B in agg milestones, per Sutro's IPO prospectus</t>
  </si>
  <si>
    <t>LipimetiX</t>
  </si>
  <si>
    <t>Anji Pharmaceuticals</t>
  </si>
  <si>
    <t>5/2018</t>
  </si>
  <si>
    <t>Apo E mimetic peptide platform including AEM-28 and analogs in China</t>
  </si>
  <si>
    <t>Sublicense</t>
  </si>
  <si>
    <t>University of Pennsylvania</t>
  </si>
  <si>
    <t>Allergan, AbbVie, Kythera Biopharmaceuticals</t>
  </si>
  <si>
    <t>2/2015</t>
  </si>
  <si>
    <t>IP covering use of PGD2 receptor antagonists for hair loss</t>
  </si>
  <si>
    <t>Hair Growth</t>
  </si>
  <si>
    <t>Georgia Tech, Emory University</t>
  </si>
  <si>
    <t>Clearside Biomedical</t>
  </si>
  <si>
    <t>7/2012</t>
  </si>
  <si>
    <t>Microneedle for ocular procedure and tissue injections</t>
  </si>
  <si>
    <t>Roswell Park Cancer Institute, Health Research Inc</t>
  </si>
  <si>
    <t>Curaxin CBL0137, TLR-5 agonist &amp; MYC inhibitor for treatment of cancer</t>
  </si>
  <si>
    <t>Preclinical, Lead Molecule</t>
  </si>
  <si>
    <t>$24.8K for patent costs | 1656 common shares | 1% royalty (3% if sold before FDA approval)</t>
  </si>
  <si>
    <t>University of British Columbia</t>
  </si>
  <si>
    <t>Visudyne (beverteportin) photodynamic therapy</t>
  </si>
  <si>
    <t>Phototherapy</t>
  </si>
  <si>
    <t>Cdn$5K AMF plus $30K legal costs</t>
  </si>
  <si>
    <t>Adimab</t>
  </si>
  <si>
    <t>X4 Pharmaceuticals, Arsanis</t>
  </si>
  <si>
    <t>2/2017</t>
  </si>
  <si>
    <t>RSV antibody program</t>
  </si>
  <si>
    <t>Respiratory Syncytial Virus/RSV</t>
  </si>
  <si>
    <t>5/2011</t>
  </si>
  <si>
    <t>Yeast monoclonals against bacterial lipopolysaccharide (LPS) targets</t>
  </si>
  <si>
    <t>Min 4 FTEs @ $280K/FTE for 1 yr</t>
  </si>
  <si>
    <t>Aradigm</t>
  </si>
  <si>
    <t>8/2007</t>
  </si>
  <si>
    <t>Tyvaso (AERx pulmonary delivery of treprostinil) for arterial hypertension</t>
  </si>
  <si>
    <t>Transcept Pharmaceuticals, Paratek Pharmaceuticals, Novacea</t>
  </si>
  <si>
    <t>Merck, Schering-Plough</t>
  </si>
  <si>
    <t>Asentar (DN-101 oral calcitriol) for prostate cancer</t>
  </si>
  <si>
    <t>Co-Promotion, Development, Equity, License, Termination</t>
  </si>
  <si>
    <t>Clinical Data, Avalon Pharmaceuticals</t>
  </si>
  <si>
    <t>AvalonRx platform to screen compounds for STAT3 inhibitors to treat cancer</t>
  </si>
  <si>
    <t>Screening</t>
  </si>
  <si>
    <t>Toll-­like Receptor (TLR) agonists for cancer, infection &amp; Alzheimers vaccines</t>
  </si>
  <si>
    <t>Cancer, Central Nervous System, Infectious-Viral</t>
  </si>
  <si>
    <t>Broad Focus Cancer, Broad Focus Infectious-Viral, Alzheimer's Disease</t>
  </si>
  <si>
    <t>Oligonucleotides, Vaccines</t>
  </si>
  <si>
    <t>Ligands</t>
  </si>
  <si>
    <t>$60M for Alzheimer's</t>
  </si>
  <si>
    <t>EF6265 (fibrinolysis inhibitor) &amp; EF6243 antithrombotic for cardio ex-Japan, China, Korea &amp; ASEAN</t>
  </si>
  <si>
    <t>5-9% in US &amp; 5-7% in ROW</t>
  </si>
  <si>
    <t>Bristol-Myers Squibb, Amylin</t>
  </si>
  <si>
    <t>Intranasal delivery of Exenatide for treatment of diabetes</t>
  </si>
  <si>
    <t>Maxygen</t>
  </si>
  <si>
    <t>MAXY_VII (recombinant factor VIIa) for acute bleeding indications</t>
  </si>
  <si>
    <t>Co-Development, License, Option, Termination</t>
  </si>
  <si>
    <t>Other Hematologic</t>
  </si>
  <si>
    <t>27-37% in US; 20-30% in ROW</t>
  </si>
  <si>
    <t>Mitsubishi Tanabe Pharma</t>
  </si>
  <si>
    <t>12/2004</t>
  </si>
  <si>
    <t>MN-246 (TT-138 Beta 3 agonist) for incontinence, and metabolic diseases ex-Japan, China &amp; Asean</t>
  </si>
  <si>
    <t>Co-Promotion, License</t>
  </si>
  <si>
    <t>Endocrinological &amp; Metabolic, Genitourinary/Gynecologic</t>
  </si>
  <si>
    <t>Diabetes, Incontinence, Obesity</t>
  </si>
  <si>
    <t>4/2004</t>
  </si>
  <si>
    <t>MN-305 (serotonin ra) for anxiety ex-Japan, China &amp; Asean</t>
  </si>
  <si>
    <t>Anxiety</t>
  </si>
  <si>
    <t>Advancis Pharmaceutical</t>
  </si>
  <si>
    <t>7/2003</t>
  </si>
  <si>
    <t>Amoxicillin and Beta Lactamase Inhibitor</t>
  </si>
  <si>
    <t>Oral, Sustained Release</t>
  </si>
  <si>
    <t>Riken</t>
  </si>
  <si>
    <t>6/2003</t>
  </si>
  <si>
    <t>IP3-binding polypeptides</t>
  </si>
  <si>
    <t>Pfizer, Array BioPharma</t>
  </si>
  <si>
    <t>GS4.3 (NS3/4 protease inhibitor) for HCV</t>
  </si>
  <si>
    <t>Combinatorial, Small Molecule</t>
  </si>
  <si>
    <t>Amgen, deCODE Genetics</t>
  </si>
  <si>
    <t>Pharmacogenomics to discover novel treatments for obesity</t>
  </si>
  <si>
    <t>15 FTEs for 3 yrs @ $300K/FTE</t>
  </si>
  <si>
    <t>2/2002</t>
  </si>
  <si>
    <t>Intranasal apomorphine for the treatment of erectile dysfunction</t>
  </si>
  <si>
    <t>Development, Equity, License, Supply, Termination</t>
  </si>
  <si>
    <t>Sexual Dysfunction</t>
  </si>
  <si>
    <t>Nasal, Small Molecule</t>
  </si>
  <si>
    <t>Atea Pharmaceuticals</t>
  </si>
  <si>
    <t>10/2020</t>
  </si>
  <si>
    <t>AT-527 oral direct-acting antiviral to treat COVID-19 ex-US</t>
  </si>
  <si>
    <t>Coronavirus</t>
  </si>
  <si>
    <t>low double-digit to mid-twenties royalties, per Atea's IPO prospectus</t>
  </si>
  <si>
    <t>SQZ Biotech</t>
  </si>
  <si>
    <t>Mononuclear antigen presenting cells via HPV and tumor cell lycate (TCL) for oncology</t>
  </si>
  <si>
    <t>Cancer, Infectious-Viral</t>
  </si>
  <si>
    <t>Broad Focus Cancer, Other Infectious-Viral</t>
  </si>
  <si>
    <t>Cell Therapy - Stem Cells/Factors, Transgenics</t>
  </si>
  <si>
    <t>$45M | $1.2B, per SQZ's IPO prospectus | mid double-digit reimb of dev costs, per SQZ's IPO prospectus | mid-single digit to mid-teen royalties | $217M in dev plus $240M in reg milestones, per SQZ's IPO prospectus | 50% PS in US for TCL Products, per SQZ's IPO prospectus</t>
  </si>
  <si>
    <t>Search:</t>
  </si>
  <si>
    <t>Average:</t>
  </si>
  <si>
    <t>Median:</t>
  </si>
  <si>
    <t>Compulsory License Tag</t>
  </si>
  <si>
    <t>Royalty reduced to CL rate</t>
  </si>
  <si>
    <t>Share equivalent to PS; CL not a sublicensee</t>
  </si>
  <si>
    <t>Royalty reduced to Generic Version rate, but not higher than CL rate</t>
  </si>
  <si>
    <t>CL revenue not included in Net Sales</t>
  </si>
  <si>
    <t>Royalty reduced to CON % of CL rate</t>
  </si>
  <si>
    <t>Share equivalent to PS; CL rev not included in Net Sales</t>
  </si>
  <si>
    <t>Royalty reduced to co-excl or non-excl rate, as appropriate</t>
  </si>
  <si>
    <t>Royalty reduced to CL rate or to rate used to avoid a CL</t>
  </si>
  <si>
    <t>Royalty reduced to Third Party Patent rate, max 50% reduction; CL rev not included in Net Sales</t>
  </si>
  <si>
    <t>Royalty reduced to CON % of CL rate; CL not a sublicensee &amp; CL rev not included in Net Sales</t>
  </si>
  <si>
    <t>Equitable royalty reduction to be negotiated after CL in such country</t>
  </si>
  <si>
    <t>Royalty reduced to CON %; same for Generic Sublicensee</t>
  </si>
  <si>
    <t xml:space="preserve">Royalty reduced by same % as Market Share Loss w CON % floor &amp; carryforward; same for comp product </t>
  </si>
  <si>
    <t>CL revenue not included in Net Sales; minimum royalties to be renegotiated if CL or generic competition</t>
  </si>
  <si>
    <t>If CL rate is below 3rd Party Patent or Biosimilar rate, then 50% sharing</t>
  </si>
  <si>
    <t>CL royalty reduced to "such rate as would be reasonable"</t>
  </si>
  <si>
    <t>Royalty reduced to CL rate, with add'l adjustments for 3rd Party Patents</t>
  </si>
  <si>
    <t>Royalty reduced to 50% of CL rate, plus 50% of any add'l CL payments; max royalty reduction of 75%</t>
  </si>
  <si>
    <t>CRE to oppose CL; royalty reduced to CL rate or to rate used to avoid a CL</t>
  </si>
  <si>
    <t>CRE to oppose CL; royalty reduced to CL rate plus 50% of any add'l CL payments; max royalty reduction of 50% w carryforward</t>
  </si>
  <si>
    <t>CRE to oppose CL; royalty reduced to CL rate</t>
  </si>
  <si>
    <t>50% of Net Sales disregarded in country w CL; max royalty reduction of 50% w carryforward</t>
  </si>
  <si>
    <t>CL Tag Provision</t>
  </si>
  <si>
    <t>Royalty reduced to CL rate w add'l adjustment for Generic Competition</t>
  </si>
  <si>
    <t>Royalty reduced to CL rate, but with 1% royalty floor</t>
  </si>
  <si>
    <t>Net Sales in country w CL calculated on basis of CL royalty only</t>
  </si>
  <si>
    <t>Royalty reduced to 50% of CL rate, plus 50% of any add'l CL payments</t>
  </si>
  <si>
    <t>Royalty reduced to CL rate w add'l adjustment for 3rd Party Patents</t>
  </si>
  <si>
    <t>If CL granted, parties will consult and cooperate to be competitive</t>
  </si>
  <si>
    <t>CRE to oppose CL; royalty reduced to CL rate, except no royalty on Product provided at or below cost in crisis</t>
  </si>
  <si>
    <t>CRE to oppose CL; if CL only distributes, country Net Sales based on all CL payments; if CL supplies, royalty is 20% of all CL payments</t>
  </si>
  <si>
    <t>CRE to oppose CL; negotiate approprate royalty adjustments</t>
  </si>
  <si>
    <t>Royalty in such country (or all Europe if in Europe) reduced to CL rate &amp; thresholds for rates &amp; sales milestones shall be adjusted down</t>
  </si>
  <si>
    <t>50% of all payments made by CL licensee &amp; CL Net Sales not included in minimum annual royalty calc</t>
  </si>
  <si>
    <t>Royalty reduced to CL rate, calculated separately for each Licensed Product</t>
  </si>
  <si>
    <t>Royalty reduced to 50% of CL rate</t>
  </si>
  <si>
    <t>Royalty reduced to CL rate so long as CL sales exceed 25% of total sales in such country</t>
  </si>
  <si>
    <t>Royalty reduced to CL rate, but no lower than Know-how rate (66% of base rate)</t>
  </si>
  <si>
    <t>Royalty reduced to Generic Competition rate (50% of base rate)</t>
  </si>
  <si>
    <t>Royalty reduced to Generic Product rate (50% of base rate if 30%+ unit share, 80% of base if 15-30% units)</t>
  </si>
  <si>
    <t>Royalty reduced to 0%</t>
  </si>
  <si>
    <t>CL sales not included in Net Sales or in any milestone calculations</t>
  </si>
  <si>
    <t>Royalty reduced to CL rate if 10%+ of unit share in such country</t>
  </si>
  <si>
    <t>CRE to oppose CL; royalty reduced to 50% of CL rate</t>
  </si>
  <si>
    <t>Royalty reduced to Generic Equivalent rate (65% of base rate if 40%+ unit share, 75% of base if 20-40% units)</t>
  </si>
  <si>
    <t>Royalty reduced by 50% if 20%+ of unit share in such country</t>
  </si>
  <si>
    <t>Royalty reduced to Generic Equivalent rate (50% of base rate if 40%+ unit share, 60% of base if 20-40% units, 70% of base if 0-20% units)</t>
  </si>
  <si>
    <t>Royalty reduced to CL rate, but not less than 1% royalty</t>
  </si>
  <si>
    <t>CRE to oppose CL; compensation to be negotiated</t>
  </si>
  <si>
    <t>Share equivalent to PS percentage; CL not a sublicensee &amp; CL rev not included in Net Sales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</si>
</sst>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</numFmts>
  <fonts count="42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sz val="10"/>
      <color indexed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4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 applyProtection="1">
      <alignment wrapText="1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5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B42" sqref="B42"/>
    </sheetView>
  </sheetViews>
  <sheetFormatPr defaultColWidth="9.140625" defaultRowHeight="12.75"/>
  <cols>
    <col min="1" max="1" width="15.7109375" style="7" customWidth="1"/>
    <col min="2" max="2" width="37.140625" style="7" customWidth="1"/>
    <col min="3" max="3" width="15.7109375" style="0" customWidth="1"/>
    <col min="4" max="6" width="30.7109375" style="10" customWidth="1"/>
    <col min="7" max="7" width="18.28125" style="0" customWidth="1"/>
    <col min="8" max="8" width="12.00390625" style="7" customWidth="1"/>
    <col min="9" max="10" width="15.7109375" style="0" customWidth="1"/>
    <col min="11" max="11" width="11.8515625" style="0" customWidth="1"/>
    <col min="12" max="12" width="15.7109375" style="0" customWidth="1"/>
    <col min="13" max="13" width="13.140625" style="0" customWidth="1"/>
    <col min="14" max="14" width="40.7109375" style="10" customWidth="1"/>
    <col min="15" max="15" width="28.7109375" style="0" customWidth="1"/>
    <col min="16" max="16" width="60.7109375" style="10" customWidth="1"/>
    <col min="17" max="17" width="14.421875" style="0" customWidth="1"/>
    <col min="18" max="18" width="33.7109375" style="10" customWidth="1"/>
    <col min="19" max="20" width="40.7109375" style="10" customWidth="1"/>
    <col min="21" max="22" width="40.7109375" style="0" customWidth="1"/>
    <col min="23" max="38" width="15.7109375" style="0" customWidth="1"/>
    <col min="39" max="39" width="60.7109375" style="0" customWidth="1"/>
  </cols>
  <sheetData>
    <row r="1" spans="1:39" s="10" customFormat="1" ht="51">
      <c r="A1" s="8" t="s">
        <v>826</v>
      </c>
      <c r="B1" s="14" t="s">
        <v>849</v>
      </c>
      <c r="C1" s="8" t="s">
        <v>3</v>
      </c>
      <c r="D1" s="9" t="s">
        <v>1</v>
      </c>
      <c r="E1" s="9" t="s">
        <v>2</v>
      </c>
      <c r="F1" s="9" t="s">
        <v>35</v>
      </c>
      <c r="G1" s="9" t="s">
        <v>12</v>
      </c>
      <c r="H1" s="8" t="s">
        <v>0</v>
      </c>
      <c r="I1" s="9" t="s">
        <v>4</v>
      </c>
      <c r="J1" s="9" t="s">
        <v>5</v>
      </c>
      <c r="K1" s="9" t="s">
        <v>6</v>
      </c>
      <c r="L1" s="9" t="s">
        <v>7</v>
      </c>
      <c r="M1" s="9" t="s">
        <v>8</v>
      </c>
      <c r="N1" s="9" t="s">
        <v>11</v>
      </c>
      <c r="O1" s="9" t="s">
        <v>13</v>
      </c>
      <c r="P1" s="9" t="s">
        <v>9</v>
      </c>
      <c r="Q1" s="9" t="s">
        <v>10</v>
      </c>
      <c r="R1" s="9" t="s">
        <v>36</v>
      </c>
      <c r="S1" s="9" t="s">
        <v>14</v>
      </c>
      <c r="T1" s="9" t="s">
        <v>15</v>
      </c>
      <c r="U1" s="9" t="s">
        <v>16</v>
      </c>
      <c r="V1" s="9" t="s">
        <v>17</v>
      </c>
      <c r="W1" s="9" t="s">
        <v>18</v>
      </c>
      <c r="X1" s="9" t="s">
        <v>19</v>
      </c>
      <c r="Y1" s="9" t="s">
        <v>20</v>
      </c>
      <c r="Z1" s="9" t="s">
        <v>21</v>
      </c>
      <c r="AA1" s="9" t="s">
        <v>22</v>
      </c>
      <c r="AB1" s="9" t="s">
        <v>23</v>
      </c>
      <c r="AC1" s="9" t="s">
        <v>24</v>
      </c>
      <c r="AD1" s="9" t="s">
        <v>25</v>
      </c>
      <c r="AE1" s="9" t="s">
        <v>26</v>
      </c>
      <c r="AF1" s="9" t="s">
        <v>27</v>
      </c>
      <c r="AG1" s="9" t="s">
        <v>28</v>
      </c>
      <c r="AH1" s="9" t="s">
        <v>29</v>
      </c>
      <c r="AI1" s="9" t="s">
        <v>30</v>
      </c>
      <c r="AJ1" s="9" t="s">
        <v>31</v>
      </c>
      <c r="AK1" s="9" t="s">
        <v>32</v>
      </c>
      <c r="AL1" s="9" t="s">
        <v>33</v>
      </c>
      <c r="AM1" s="9" t="s">
        <v>34</v>
      </c>
    </row>
    <row r="2" spans="1:39" ht="38.25">
      <c r="A2" s="6" t="str">
        <f>HYPERLINK("https://www.bioscidb.com/tag/gettag/3583f4a5-c0c5-4378-b07e-4bbd06fc87b1","Tag")</f>
        <v>Tag</v>
      </c>
      <c r="B2" s="15" t="s">
        <v>876</v>
      </c>
      <c r="C2" s="3" t="s">
        <v>813</v>
      </c>
      <c r="D2" s="11" t="s">
        <v>812</v>
      </c>
      <c r="E2" s="11" t="s">
        <v>208</v>
      </c>
      <c r="F2" s="11" t="s">
        <v>85</v>
      </c>
      <c r="G2" s="1" t="s">
        <v>162</v>
      </c>
      <c r="H2" s="6" t="str">
        <f>HYPERLINK("https://www.bioscidb.com/browse/deal_bg/17483","Deal")</f>
        <v>Deal</v>
      </c>
      <c r="I2" s="4">
        <v>350</v>
      </c>
      <c r="J2" s="4">
        <v>1000</v>
      </c>
      <c r="K2" s="4" t="s">
        <v>40</v>
      </c>
      <c r="L2" s="4" t="s">
        <v>40</v>
      </c>
      <c r="M2" s="4" t="s">
        <v>40</v>
      </c>
      <c r="N2" s="11" t="s">
        <v>154</v>
      </c>
      <c r="O2" s="1" t="s">
        <v>155</v>
      </c>
      <c r="P2" s="11" t="s">
        <v>814</v>
      </c>
      <c r="Q2" s="1" t="s">
        <v>42</v>
      </c>
      <c r="R2" s="11" t="s">
        <v>53</v>
      </c>
      <c r="S2" s="11" t="s">
        <v>101</v>
      </c>
      <c r="T2" s="11" t="s">
        <v>815</v>
      </c>
      <c r="U2" s="1" t="s">
        <v>48</v>
      </c>
      <c r="V2" s="1" t="s">
        <v>49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>
        <v>330</v>
      </c>
      <c r="AC2" s="4" t="s">
        <v>40</v>
      </c>
      <c r="AD2" s="4">
        <v>680</v>
      </c>
      <c r="AE2" s="4">
        <v>320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1" t="s">
        <v>816</v>
      </c>
    </row>
    <row r="3" spans="1:39" ht="25.5">
      <c r="A3" s="6" t="str">
        <f>HYPERLINK("https://www.bioscidb.com/tag/gettag/746ba390-6d75-4c78-849c-2043d5079515","Tag")</f>
        <v>Tag</v>
      </c>
      <c r="B3" s="15" t="s">
        <v>832</v>
      </c>
      <c r="C3" s="3" t="s">
        <v>232</v>
      </c>
      <c r="D3" s="11" t="s">
        <v>603</v>
      </c>
      <c r="E3" s="11" t="s">
        <v>478</v>
      </c>
      <c r="F3" s="11" t="s">
        <v>285</v>
      </c>
      <c r="G3" s="1" t="s">
        <v>162</v>
      </c>
      <c r="H3" s="6" t="str">
        <f>HYPERLINK("https://www.bioscidb.com/browse/deal_bg/16869","Deal")</f>
        <v>Deal</v>
      </c>
      <c r="I3" s="4">
        <v>675</v>
      </c>
      <c r="J3" s="4">
        <v>1702</v>
      </c>
      <c r="K3" s="4">
        <v>50</v>
      </c>
      <c r="L3" s="4">
        <v>100</v>
      </c>
      <c r="M3" s="4" t="s">
        <v>40</v>
      </c>
      <c r="N3" s="11" t="s">
        <v>709</v>
      </c>
      <c r="O3" s="1" t="s">
        <v>80</v>
      </c>
      <c r="P3" s="11" t="s">
        <v>708</v>
      </c>
      <c r="Q3" s="1" t="s">
        <v>42</v>
      </c>
      <c r="R3" s="11" t="s">
        <v>53</v>
      </c>
      <c r="S3" s="11" t="s">
        <v>111</v>
      </c>
      <c r="T3" s="11" t="s">
        <v>710</v>
      </c>
      <c r="U3" s="1" t="s">
        <v>48</v>
      </c>
      <c r="V3" s="1" t="s">
        <v>49</v>
      </c>
      <c r="W3" s="4">
        <v>100</v>
      </c>
      <c r="X3" s="4" t="s">
        <v>40</v>
      </c>
      <c r="Y3" s="4" t="s">
        <v>40</v>
      </c>
      <c r="Z3" s="4" t="s">
        <v>40</v>
      </c>
      <c r="AA3" s="4" t="s">
        <v>40</v>
      </c>
      <c r="AB3" s="4" t="s">
        <v>40</v>
      </c>
      <c r="AC3" s="4" t="s">
        <v>40</v>
      </c>
      <c r="AD3" s="4">
        <v>1702</v>
      </c>
      <c r="AE3" s="4" t="s">
        <v>40</v>
      </c>
      <c r="AF3" s="4" t="s">
        <v>40</v>
      </c>
      <c r="AG3" s="4" t="s">
        <v>40</v>
      </c>
      <c r="AH3" s="4" t="s">
        <v>40</v>
      </c>
      <c r="AI3" s="4" t="s">
        <v>40</v>
      </c>
      <c r="AJ3" s="4" t="s">
        <v>40</v>
      </c>
      <c r="AK3" s="4" t="s">
        <v>40</v>
      </c>
      <c r="AL3" s="4">
        <v>50</v>
      </c>
      <c r="AM3" s="1" t="s">
        <v>711</v>
      </c>
    </row>
    <row r="4" spans="1:39" ht="25.5">
      <c r="A4" s="6" t="str">
        <f>HYPERLINK("https://www.bioscidb.com/tag/gettag/44d78245-434e-4726-93b0-da93ee15b3f5","Tag")</f>
        <v>Tag</v>
      </c>
      <c r="B4" s="15" t="s">
        <v>827</v>
      </c>
      <c r="C4" s="3" t="s">
        <v>232</v>
      </c>
      <c r="D4" s="11" t="s">
        <v>671</v>
      </c>
      <c r="E4" s="11" t="s">
        <v>75</v>
      </c>
      <c r="F4" s="11" t="s">
        <v>85</v>
      </c>
      <c r="G4" s="1" t="s">
        <v>162</v>
      </c>
      <c r="H4" s="6" t="str">
        <f>HYPERLINK("https://www.bioscidb.com/browse/deal_bg/16839","Deal")</f>
        <v>Deal</v>
      </c>
      <c r="I4" s="4">
        <v>15</v>
      </c>
      <c r="J4" s="4">
        <v>425</v>
      </c>
      <c r="K4" s="4" t="s">
        <v>40</v>
      </c>
      <c r="L4" s="4" t="s">
        <v>40</v>
      </c>
      <c r="M4" s="4" t="s">
        <v>40</v>
      </c>
      <c r="N4" s="11" t="s">
        <v>673</v>
      </c>
      <c r="O4" s="1" t="s">
        <v>110</v>
      </c>
      <c r="P4" s="11" t="s">
        <v>672</v>
      </c>
      <c r="Q4" s="1" t="s">
        <v>42</v>
      </c>
      <c r="R4" s="11" t="s">
        <v>68</v>
      </c>
      <c r="S4" s="11" t="s">
        <v>111</v>
      </c>
      <c r="T4" s="11" t="s">
        <v>112</v>
      </c>
      <c r="U4" s="1" t="s">
        <v>48</v>
      </c>
      <c r="V4" s="1" t="s">
        <v>49</v>
      </c>
      <c r="W4" s="4" t="s">
        <v>40</v>
      </c>
      <c r="X4" s="4" t="s">
        <v>40</v>
      </c>
      <c r="Y4" s="4" t="s">
        <v>40</v>
      </c>
      <c r="Z4" s="4" t="s">
        <v>40</v>
      </c>
      <c r="AA4" s="4" t="s">
        <v>40</v>
      </c>
      <c r="AB4" s="4">
        <v>245</v>
      </c>
      <c r="AC4" s="4" t="s">
        <v>40</v>
      </c>
      <c r="AD4" s="4">
        <v>260</v>
      </c>
      <c r="AE4" s="4">
        <v>165</v>
      </c>
      <c r="AF4" s="4" t="s">
        <v>40</v>
      </c>
      <c r="AG4" s="4" t="s">
        <v>40</v>
      </c>
      <c r="AH4" s="4" t="s">
        <v>40</v>
      </c>
      <c r="AI4" s="4" t="s">
        <v>40</v>
      </c>
      <c r="AJ4" s="4" t="s">
        <v>40</v>
      </c>
      <c r="AK4" s="4" t="s">
        <v>40</v>
      </c>
      <c r="AL4" s="4" t="s">
        <v>40</v>
      </c>
      <c r="AM4" s="1" t="s">
        <v>674</v>
      </c>
    </row>
    <row r="5" spans="1:39" ht="25.5">
      <c r="A5" s="6" t="str">
        <f>HYPERLINK("https://www.bioscidb.com/tag/gettag/80747da3-071d-4e9c-89ea-8ec67944bf96","Tag")</f>
        <v>Tag</v>
      </c>
      <c r="B5" s="15" t="s">
        <v>827</v>
      </c>
      <c r="C5" s="3" t="s">
        <v>713</v>
      </c>
      <c r="D5" s="11" t="s">
        <v>712</v>
      </c>
      <c r="E5" s="11" t="s">
        <v>158</v>
      </c>
      <c r="F5" s="11" t="s">
        <v>169</v>
      </c>
      <c r="G5" s="1" t="s">
        <v>162</v>
      </c>
      <c r="H5" s="6" t="str">
        <f>HYPERLINK("https://www.bioscidb.com/browse/deal_bg/16543","Deal")</f>
        <v>Deal</v>
      </c>
      <c r="I5" s="4">
        <v>15</v>
      </c>
      <c r="J5" s="4">
        <v>540.4</v>
      </c>
      <c r="K5" s="4" t="s">
        <v>40</v>
      </c>
      <c r="L5" s="4">
        <v>38.9</v>
      </c>
      <c r="M5" s="4" t="s">
        <v>40</v>
      </c>
      <c r="N5" s="11" t="s">
        <v>715</v>
      </c>
      <c r="O5" s="1" t="s">
        <v>293</v>
      </c>
      <c r="P5" s="11" t="s">
        <v>714</v>
      </c>
      <c r="Q5" s="1" t="s">
        <v>42</v>
      </c>
      <c r="R5" s="11" t="s">
        <v>68</v>
      </c>
      <c r="S5" s="11" t="s">
        <v>716</v>
      </c>
      <c r="T5" s="11" t="s">
        <v>717</v>
      </c>
      <c r="U5" s="1" t="s">
        <v>48</v>
      </c>
      <c r="V5" s="1" t="s">
        <v>49</v>
      </c>
      <c r="W5" s="4">
        <v>38.9</v>
      </c>
      <c r="X5" s="4" t="s">
        <v>40</v>
      </c>
      <c r="Y5" s="4" t="s">
        <v>40</v>
      </c>
      <c r="Z5" s="4" t="s">
        <v>40</v>
      </c>
      <c r="AA5" s="4" t="s">
        <v>40</v>
      </c>
      <c r="AB5" s="4">
        <v>217.5</v>
      </c>
      <c r="AC5" s="4">
        <v>109</v>
      </c>
      <c r="AD5" s="4">
        <v>380.4</v>
      </c>
      <c r="AE5" s="4">
        <v>160</v>
      </c>
      <c r="AF5" s="4" t="s">
        <v>40</v>
      </c>
      <c r="AG5" s="4" t="s">
        <v>40</v>
      </c>
      <c r="AH5" s="4" t="s">
        <v>40</v>
      </c>
      <c r="AI5" s="4" t="s">
        <v>40</v>
      </c>
      <c r="AJ5" s="4" t="s">
        <v>40</v>
      </c>
      <c r="AK5" s="4" t="s">
        <v>40</v>
      </c>
      <c r="AL5" s="4" t="s">
        <v>40</v>
      </c>
      <c r="AM5" s="1" t="s">
        <v>718</v>
      </c>
    </row>
    <row r="6" spans="1:39" ht="51">
      <c r="A6" s="6" t="str">
        <f>HYPERLINK("https://www.bioscidb.com/tag/gettag/30d5752d-c85a-4ce9-8a14-cd057f7dfc32","Tag")</f>
        <v>Tag</v>
      </c>
      <c r="B6" s="15" t="s">
        <v>828</v>
      </c>
      <c r="C6" s="3" t="s">
        <v>336</v>
      </c>
      <c r="D6" s="11" t="s">
        <v>335</v>
      </c>
      <c r="E6" s="11" t="s">
        <v>106</v>
      </c>
      <c r="F6" s="11" t="s">
        <v>85</v>
      </c>
      <c r="G6" s="1" t="s">
        <v>162</v>
      </c>
      <c r="H6" s="6" t="str">
        <f>HYPERLINK("https://www.bioscidb.com/browse/deal_bg/17119","Deal")</f>
        <v>Deal</v>
      </c>
      <c r="I6" s="4">
        <v>60</v>
      </c>
      <c r="J6" s="4">
        <v>2080</v>
      </c>
      <c r="K6" s="4" t="s">
        <v>40</v>
      </c>
      <c r="L6" s="4">
        <v>20</v>
      </c>
      <c r="M6" s="4" t="s">
        <v>40</v>
      </c>
      <c r="N6" s="11" t="s">
        <v>109</v>
      </c>
      <c r="O6" s="1" t="s">
        <v>110</v>
      </c>
      <c r="P6" s="11" t="s">
        <v>337</v>
      </c>
      <c r="Q6" s="1" t="s">
        <v>42</v>
      </c>
      <c r="R6" s="11" t="s">
        <v>68</v>
      </c>
      <c r="S6" s="11" t="s">
        <v>338</v>
      </c>
      <c r="T6" s="11" t="s">
        <v>339</v>
      </c>
      <c r="U6" s="1" t="s">
        <v>166</v>
      </c>
      <c r="V6" s="1" t="s">
        <v>213</v>
      </c>
      <c r="W6" s="4">
        <v>20</v>
      </c>
      <c r="X6" s="4" t="s">
        <v>40</v>
      </c>
      <c r="Y6" s="4" t="s">
        <v>40</v>
      </c>
      <c r="Z6" s="4" t="s">
        <v>40</v>
      </c>
      <c r="AA6" s="4" t="s">
        <v>40</v>
      </c>
      <c r="AB6" s="4">
        <v>150</v>
      </c>
      <c r="AC6" s="4">
        <v>600</v>
      </c>
      <c r="AD6" s="4">
        <v>830</v>
      </c>
      <c r="AE6" s="4">
        <v>1250</v>
      </c>
      <c r="AF6" s="4" t="s">
        <v>40</v>
      </c>
      <c r="AG6" s="4" t="s">
        <v>40</v>
      </c>
      <c r="AH6" s="4" t="s">
        <v>40</v>
      </c>
      <c r="AI6" s="4" t="s">
        <v>40</v>
      </c>
      <c r="AJ6" s="4" t="s">
        <v>40</v>
      </c>
      <c r="AK6" s="4" t="s">
        <v>40</v>
      </c>
      <c r="AL6" s="4" t="s">
        <v>40</v>
      </c>
      <c r="AM6" s="1" t="s">
        <v>340</v>
      </c>
    </row>
    <row r="7" spans="1:39" ht="25.5">
      <c r="A7" s="6" t="str">
        <f>HYPERLINK("https://www.bioscidb.com/tag/gettag/6b922b09-7d81-4780-a3fa-1b8219628323","Tag")</f>
        <v>Tag</v>
      </c>
      <c r="B7" s="15" t="s">
        <v>833</v>
      </c>
      <c r="C7" s="3" t="s">
        <v>585</v>
      </c>
      <c r="D7" s="11" t="s">
        <v>583</v>
      </c>
      <c r="E7" s="11" t="s">
        <v>584</v>
      </c>
      <c r="F7" s="11" t="s">
        <v>169</v>
      </c>
      <c r="G7" s="1" t="s">
        <v>162</v>
      </c>
      <c r="H7" s="6" t="str">
        <f>HYPERLINK("https://www.bioscidb.com/browse/deal_bg/17293","Deal")</f>
        <v>Deal</v>
      </c>
      <c r="I7" s="4">
        <v>3.2</v>
      </c>
      <c r="J7" s="4">
        <v>23.2</v>
      </c>
      <c r="K7" s="4" t="s">
        <v>40</v>
      </c>
      <c r="L7" s="4" t="s">
        <v>40</v>
      </c>
      <c r="M7" s="4" t="s">
        <v>40</v>
      </c>
      <c r="N7" s="11" t="s">
        <v>43</v>
      </c>
      <c r="O7" s="1" t="s">
        <v>132</v>
      </c>
      <c r="P7" s="11" t="s">
        <v>586</v>
      </c>
      <c r="Q7" s="1" t="s">
        <v>42</v>
      </c>
      <c r="R7" s="11" t="s">
        <v>68</v>
      </c>
      <c r="S7" s="11" t="s">
        <v>164</v>
      </c>
      <c r="T7" s="11" t="s">
        <v>587</v>
      </c>
      <c r="U7" s="1" t="s">
        <v>166</v>
      </c>
      <c r="V7" s="1" t="s">
        <v>588</v>
      </c>
      <c r="W7" s="4" t="s">
        <v>40</v>
      </c>
      <c r="X7" s="4" t="s">
        <v>40</v>
      </c>
      <c r="Y7" s="4" t="s">
        <v>40</v>
      </c>
      <c r="Z7" s="4" t="s">
        <v>40</v>
      </c>
      <c r="AA7" s="4" t="s">
        <v>40</v>
      </c>
      <c r="AB7" s="4">
        <v>10</v>
      </c>
      <c r="AC7" s="4" t="s">
        <v>40</v>
      </c>
      <c r="AD7" s="4">
        <v>13.2</v>
      </c>
      <c r="AE7" s="4">
        <v>10</v>
      </c>
      <c r="AF7" s="4" t="s">
        <v>40</v>
      </c>
      <c r="AG7" s="4" t="s">
        <v>40</v>
      </c>
      <c r="AH7" s="4" t="s">
        <v>40</v>
      </c>
      <c r="AI7" s="4" t="s">
        <v>40</v>
      </c>
      <c r="AJ7" s="4" t="s">
        <v>40</v>
      </c>
      <c r="AK7" s="4" t="s">
        <v>40</v>
      </c>
      <c r="AL7" s="4" t="s">
        <v>40</v>
      </c>
      <c r="AM7" s="1" t="s">
        <v>589</v>
      </c>
    </row>
    <row r="8" spans="1:39" ht="25.5">
      <c r="A8" s="6" t="str">
        <f>HYPERLINK("https://www.bioscidb.com/tag/gettag/d1baa8b8-749d-41b5-b7b1-f696126a3204","Tag")</f>
        <v>Tag</v>
      </c>
      <c r="B8" s="15" t="s">
        <v>834</v>
      </c>
      <c r="C8" s="3" t="s">
        <v>201</v>
      </c>
      <c r="D8" s="11" t="s">
        <v>719</v>
      </c>
      <c r="E8" s="11" t="s">
        <v>720</v>
      </c>
      <c r="F8" s="11" t="s">
        <v>169</v>
      </c>
      <c r="G8" s="1" t="s">
        <v>162</v>
      </c>
      <c r="H8" s="6" t="str">
        <f>HYPERLINK("https://www.bioscidb.com/browse/deal_bg/15754","Deal")</f>
        <v>Deal</v>
      </c>
      <c r="I8" s="4" t="s">
        <v>40</v>
      </c>
      <c r="J8" s="4">
        <v>141.7</v>
      </c>
      <c r="K8" s="4" t="s">
        <v>40</v>
      </c>
      <c r="L8" s="4">
        <v>6.7</v>
      </c>
      <c r="M8" s="4" t="s">
        <v>40</v>
      </c>
      <c r="N8" s="11" t="s">
        <v>442</v>
      </c>
      <c r="O8" s="1" t="s">
        <v>427</v>
      </c>
      <c r="P8" s="11" t="s">
        <v>721</v>
      </c>
      <c r="Q8" s="1" t="s">
        <v>42</v>
      </c>
      <c r="R8" s="11" t="s">
        <v>68</v>
      </c>
      <c r="S8" s="11" t="s">
        <v>176</v>
      </c>
      <c r="T8" s="11" t="s">
        <v>722</v>
      </c>
      <c r="U8" s="1" t="s">
        <v>48</v>
      </c>
      <c r="V8" s="1" t="s">
        <v>49</v>
      </c>
      <c r="W8" s="4">
        <v>6.7</v>
      </c>
      <c r="X8" s="4" t="s">
        <v>40</v>
      </c>
      <c r="Y8" s="4" t="s">
        <v>40</v>
      </c>
      <c r="Z8" s="4" t="s">
        <v>40</v>
      </c>
      <c r="AA8" s="4" t="s">
        <v>40</v>
      </c>
      <c r="AB8" s="4" t="s">
        <v>40</v>
      </c>
      <c r="AC8" s="4" t="s">
        <v>40</v>
      </c>
      <c r="AD8" s="4">
        <v>141.7</v>
      </c>
      <c r="AE8" s="4" t="s">
        <v>40</v>
      </c>
      <c r="AF8" s="4" t="s">
        <v>40</v>
      </c>
      <c r="AG8" s="4" t="s">
        <v>40</v>
      </c>
      <c r="AH8" s="4" t="s">
        <v>40</v>
      </c>
      <c r="AI8" s="4" t="s">
        <v>40</v>
      </c>
      <c r="AJ8" s="4" t="s">
        <v>40</v>
      </c>
      <c r="AK8" s="4" t="s">
        <v>40</v>
      </c>
      <c r="AL8" s="4" t="s">
        <v>40</v>
      </c>
      <c r="AM8" s="1" t="s">
        <v>723</v>
      </c>
    </row>
    <row r="9" spans="1:39" ht="25.5">
      <c r="A9" s="6" t="str">
        <f>HYPERLINK("https://www.bioscidb.com/tag/gettag/98788b71-217f-42b0-8bc0-9edc26dd9a6c","Tag")</f>
        <v>Tag</v>
      </c>
      <c r="B9" s="15" t="s">
        <v>829</v>
      </c>
      <c r="C9" s="3" t="s">
        <v>201</v>
      </c>
      <c r="D9" s="11" t="s">
        <v>590</v>
      </c>
      <c r="E9" s="11" t="s">
        <v>591</v>
      </c>
      <c r="F9" s="11" t="s">
        <v>237</v>
      </c>
      <c r="G9" s="1" t="s">
        <v>162</v>
      </c>
      <c r="H9" s="6" t="str">
        <f>HYPERLINK("https://www.bioscidb.com/browse/deal_bg/15684","Deal")</f>
        <v>Deal</v>
      </c>
      <c r="I9" s="4">
        <v>15</v>
      </c>
      <c r="J9" s="4">
        <v>355</v>
      </c>
      <c r="K9" s="4" t="s">
        <v>40</v>
      </c>
      <c r="L9" s="4" t="s">
        <v>40</v>
      </c>
      <c r="M9" s="4" t="s">
        <v>40</v>
      </c>
      <c r="N9" s="11" t="s">
        <v>144</v>
      </c>
      <c r="O9" s="1" t="s">
        <v>132</v>
      </c>
      <c r="P9" s="11" t="s">
        <v>592</v>
      </c>
      <c r="Q9" s="1" t="s">
        <v>42</v>
      </c>
      <c r="R9" s="11" t="s">
        <v>68</v>
      </c>
      <c r="S9" s="11" t="s">
        <v>534</v>
      </c>
      <c r="T9" s="11" t="s">
        <v>593</v>
      </c>
      <c r="U9" s="1" t="s">
        <v>63</v>
      </c>
      <c r="V9" s="1" t="s">
        <v>594</v>
      </c>
      <c r="W9" s="4" t="s">
        <v>40</v>
      </c>
      <c r="X9" s="4" t="s">
        <v>40</v>
      </c>
      <c r="Y9" s="4" t="s">
        <v>40</v>
      </c>
      <c r="Z9" s="4" t="s">
        <v>40</v>
      </c>
      <c r="AA9" s="4" t="s">
        <v>40</v>
      </c>
      <c r="AB9" s="4" t="s">
        <v>40</v>
      </c>
      <c r="AC9" s="4" t="s">
        <v>40</v>
      </c>
      <c r="AD9" s="4">
        <v>355</v>
      </c>
      <c r="AE9" s="4" t="s">
        <v>40</v>
      </c>
      <c r="AF9" s="4" t="s">
        <v>40</v>
      </c>
      <c r="AG9" s="4" t="s">
        <v>40</v>
      </c>
      <c r="AH9" s="4" t="s">
        <v>40</v>
      </c>
      <c r="AI9" s="4" t="s">
        <v>40</v>
      </c>
      <c r="AJ9" s="4" t="s">
        <v>40</v>
      </c>
      <c r="AK9" s="4" t="s">
        <v>40</v>
      </c>
      <c r="AL9" s="4" t="s">
        <v>40</v>
      </c>
      <c r="AM9" s="1" t="s">
        <v>595</v>
      </c>
    </row>
    <row r="10" spans="1:39" ht="38.25" customHeight="1">
      <c r="A10" s="6" t="str">
        <f>HYPERLINK("https://www.bioscidb.com/tag/gettag/28fa215b-6ded-45c6-9ddd-0371ce4e7195","Tag")</f>
        <v>Tag</v>
      </c>
      <c r="B10" s="15" t="s">
        <v>835</v>
      </c>
      <c r="C10" s="3" t="s">
        <v>201</v>
      </c>
      <c r="D10" s="11" t="s">
        <v>596</v>
      </c>
      <c r="E10" s="11" t="s">
        <v>597</v>
      </c>
      <c r="F10" s="11" t="s">
        <v>85</v>
      </c>
      <c r="G10" s="1" t="s">
        <v>162</v>
      </c>
      <c r="H10" s="6" t="str">
        <f>HYPERLINK("https://www.bioscidb.com/browse/deal_bg/15696","Deal")</f>
        <v>Deal</v>
      </c>
      <c r="I10" s="4">
        <v>7.2</v>
      </c>
      <c r="J10" s="4">
        <v>103.6</v>
      </c>
      <c r="K10" s="4">
        <v>2</v>
      </c>
      <c r="L10" s="4" t="s">
        <v>40</v>
      </c>
      <c r="M10" s="4">
        <v>2</v>
      </c>
      <c r="N10" s="11" t="s">
        <v>219</v>
      </c>
      <c r="O10" s="1" t="s">
        <v>599</v>
      </c>
      <c r="P10" s="11" t="s">
        <v>598</v>
      </c>
      <c r="Q10" s="1" t="s">
        <v>42</v>
      </c>
      <c r="R10" s="11" t="s">
        <v>68</v>
      </c>
      <c r="S10" s="11" t="s">
        <v>600</v>
      </c>
      <c r="T10" s="11" t="s">
        <v>601</v>
      </c>
      <c r="U10" s="1" t="s">
        <v>204</v>
      </c>
      <c r="V10" s="1" t="s">
        <v>104</v>
      </c>
      <c r="W10" s="4" t="s">
        <v>40</v>
      </c>
      <c r="X10" s="4" t="s">
        <v>40</v>
      </c>
      <c r="Y10" s="4">
        <v>3.4</v>
      </c>
      <c r="Z10" s="4" t="s">
        <v>40</v>
      </c>
      <c r="AA10" s="4" t="s">
        <v>40</v>
      </c>
      <c r="AB10" s="4">
        <v>48</v>
      </c>
      <c r="AC10" s="4" t="s">
        <v>40</v>
      </c>
      <c r="AD10" s="4">
        <v>58.6</v>
      </c>
      <c r="AE10" s="4">
        <v>45</v>
      </c>
      <c r="AF10" s="4" t="s">
        <v>40</v>
      </c>
      <c r="AG10" s="4" t="s">
        <v>40</v>
      </c>
      <c r="AH10" s="4" t="s">
        <v>40</v>
      </c>
      <c r="AI10" s="4" t="s">
        <v>40</v>
      </c>
      <c r="AJ10" s="4" t="s">
        <v>40</v>
      </c>
      <c r="AK10" s="4" t="s">
        <v>40</v>
      </c>
      <c r="AL10" s="4" t="s">
        <v>40</v>
      </c>
      <c r="AM10" s="1" t="s">
        <v>602</v>
      </c>
    </row>
    <row r="11" spans="1:39" ht="25.5">
      <c r="A11" s="6" t="str">
        <f>HYPERLINK("https://www.bioscidb.com/tag/gettag/7c28c552-886d-4300-bd7c-d312415d01a3","Tag")</f>
        <v>Tag</v>
      </c>
      <c r="B11" s="15" t="s">
        <v>830</v>
      </c>
      <c r="C11" s="3" t="s">
        <v>201</v>
      </c>
      <c r="D11" s="11" t="s">
        <v>199</v>
      </c>
      <c r="E11" s="11" t="s">
        <v>200</v>
      </c>
      <c r="F11" s="11" t="s">
        <v>85</v>
      </c>
      <c r="G11" s="1" t="s">
        <v>162</v>
      </c>
      <c r="H11" s="6" t="str">
        <f>HYPERLINK("https://www.bioscidb.com/browse/deal_bg/15678","Deal")</f>
        <v>Deal</v>
      </c>
      <c r="I11" s="4">
        <v>10</v>
      </c>
      <c r="J11" s="4">
        <v>250</v>
      </c>
      <c r="K11" s="4" t="s">
        <v>40</v>
      </c>
      <c r="L11" s="4" t="s">
        <v>40</v>
      </c>
      <c r="M11" s="4" t="s">
        <v>40</v>
      </c>
      <c r="N11" s="11" t="s">
        <v>43</v>
      </c>
      <c r="O11" s="1" t="s">
        <v>132</v>
      </c>
      <c r="P11" s="11" t="s">
        <v>202</v>
      </c>
      <c r="Q11" s="1" t="s">
        <v>42</v>
      </c>
      <c r="R11" s="11" t="s">
        <v>68</v>
      </c>
      <c r="S11" s="11" t="s">
        <v>203</v>
      </c>
      <c r="T11" s="11" t="s">
        <v>40</v>
      </c>
      <c r="U11" s="1" t="s">
        <v>204</v>
      </c>
      <c r="V11" s="1" t="s">
        <v>205</v>
      </c>
      <c r="W11" s="4" t="s">
        <v>40</v>
      </c>
      <c r="X11" s="4" t="s">
        <v>40</v>
      </c>
      <c r="Y11" s="4" t="s">
        <v>40</v>
      </c>
      <c r="Z11" s="4" t="s">
        <v>40</v>
      </c>
      <c r="AA11" s="4" t="s">
        <v>40</v>
      </c>
      <c r="AB11" s="4" t="s">
        <v>40</v>
      </c>
      <c r="AC11" s="4" t="s">
        <v>40</v>
      </c>
      <c r="AD11" s="4">
        <v>250</v>
      </c>
      <c r="AE11" s="4" t="s">
        <v>40</v>
      </c>
      <c r="AF11" s="4" t="s">
        <v>40</v>
      </c>
      <c r="AG11" s="4" t="s">
        <v>40</v>
      </c>
      <c r="AH11" s="4" t="s">
        <v>40</v>
      </c>
      <c r="AI11" s="4" t="s">
        <v>40</v>
      </c>
      <c r="AJ11" s="4" t="s">
        <v>40</v>
      </c>
      <c r="AK11" s="4" t="s">
        <v>40</v>
      </c>
      <c r="AL11" s="4" t="s">
        <v>40</v>
      </c>
      <c r="AM11" s="1" t="s">
        <v>206</v>
      </c>
    </row>
    <row r="12" spans="1:39" ht="25.5">
      <c r="A12" s="6" t="str">
        <f>HYPERLINK("https://www.bioscidb.com/tag/gettag/4b213728-fdbf-47af-a729-ecf66de0fccc","Tag")</f>
        <v>Tag</v>
      </c>
      <c r="B12" s="15" t="s">
        <v>827</v>
      </c>
      <c r="C12" s="3" t="s">
        <v>209</v>
      </c>
      <c r="D12" s="11" t="s">
        <v>603</v>
      </c>
      <c r="E12" s="11" t="s">
        <v>604</v>
      </c>
      <c r="F12" s="11" t="s">
        <v>610</v>
      </c>
      <c r="G12" s="1" t="s">
        <v>162</v>
      </c>
      <c r="H12" s="6" t="str">
        <f>HYPERLINK("https://www.bioscidb.com/browse/deal_bg/15257","Deal")</f>
        <v>Deal</v>
      </c>
      <c r="I12" s="4">
        <v>25</v>
      </c>
      <c r="J12" s="4">
        <v>535</v>
      </c>
      <c r="K12" s="4" t="s">
        <v>40</v>
      </c>
      <c r="L12" s="4" t="s">
        <v>40</v>
      </c>
      <c r="M12" s="4" t="s">
        <v>40</v>
      </c>
      <c r="N12" s="11" t="s">
        <v>43</v>
      </c>
      <c r="O12" s="1" t="s">
        <v>606</v>
      </c>
      <c r="P12" s="11" t="s">
        <v>605</v>
      </c>
      <c r="Q12" s="1" t="s">
        <v>42</v>
      </c>
      <c r="R12" s="11" t="s">
        <v>68</v>
      </c>
      <c r="S12" s="11" t="s">
        <v>607</v>
      </c>
      <c r="T12" s="11" t="s">
        <v>608</v>
      </c>
      <c r="U12" s="1" t="s">
        <v>48</v>
      </c>
      <c r="V12" s="1" t="s">
        <v>49</v>
      </c>
      <c r="W12" s="4" t="s">
        <v>40</v>
      </c>
      <c r="X12" s="4" t="s">
        <v>40</v>
      </c>
      <c r="Y12" s="4" t="s">
        <v>40</v>
      </c>
      <c r="Z12" s="4" t="s">
        <v>40</v>
      </c>
      <c r="AA12" s="4" t="s">
        <v>40</v>
      </c>
      <c r="AB12" s="4" t="s">
        <v>40</v>
      </c>
      <c r="AC12" s="4" t="s">
        <v>40</v>
      </c>
      <c r="AD12" s="4">
        <v>535</v>
      </c>
      <c r="AE12" s="4" t="s">
        <v>40</v>
      </c>
      <c r="AF12" s="4" t="s">
        <v>40</v>
      </c>
      <c r="AG12" s="4" t="s">
        <v>40</v>
      </c>
      <c r="AH12" s="4" t="s">
        <v>40</v>
      </c>
      <c r="AI12" s="4" t="s">
        <v>40</v>
      </c>
      <c r="AJ12" s="4" t="s">
        <v>40</v>
      </c>
      <c r="AK12" s="4" t="s">
        <v>40</v>
      </c>
      <c r="AL12" s="4" t="s">
        <v>40</v>
      </c>
      <c r="AM12" s="1" t="s">
        <v>609</v>
      </c>
    </row>
    <row r="13" spans="1:39" ht="25.5">
      <c r="A13" s="6" t="str">
        <f>HYPERLINK("https://www.bioscidb.com/tag/gettag/2ba9483e-75b6-4a1b-96f0-0870c9828822","Tag")</f>
        <v>Tag</v>
      </c>
      <c r="B13" s="15" t="s">
        <v>832</v>
      </c>
      <c r="C13" s="3" t="s">
        <v>209</v>
      </c>
      <c r="D13" s="11" t="s">
        <v>207</v>
      </c>
      <c r="E13" s="11" t="s">
        <v>208</v>
      </c>
      <c r="F13" s="11" t="s">
        <v>85</v>
      </c>
      <c r="G13" s="1" t="s">
        <v>162</v>
      </c>
      <c r="H13" s="6" t="str">
        <f>HYPERLINK("https://www.bioscidb.com/browse/deal_bg/15335","Deal")</f>
        <v>Deal</v>
      </c>
      <c r="I13" s="4">
        <v>200</v>
      </c>
      <c r="J13" s="4">
        <v>1670</v>
      </c>
      <c r="K13" s="4" t="s">
        <v>40</v>
      </c>
      <c r="L13" s="4" t="s">
        <v>40</v>
      </c>
      <c r="M13" s="4" t="s">
        <v>40</v>
      </c>
      <c r="N13" s="11" t="s">
        <v>126</v>
      </c>
      <c r="O13" s="1" t="s">
        <v>211</v>
      </c>
      <c r="P13" s="11" t="s">
        <v>210</v>
      </c>
      <c r="Q13" s="1" t="s">
        <v>42</v>
      </c>
      <c r="R13" s="11" t="s">
        <v>68</v>
      </c>
      <c r="S13" s="11" t="s">
        <v>101</v>
      </c>
      <c r="T13" s="11" t="s">
        <v>212</v>
      </c>
      <c r="U13" s="1" t="s">
        <v>166</v>
      </c>
      <c r="V13" s="1" t="s">
        <v>213</v>
      </c>
      <c r="W13" s="4" t="s">
        <v>40</v>
      </c>
      <c r="X13" s="4" t="s">
        <v>40</v>
      </c>
      <c r="Y13" s="4" t="s">
        <v>40</v>
      </c>
      <c r="Z13" s="4" t="s">
        <v>40</v>
      </c>
      <c r="AA13" s="4" t="s">
        <v>40</v>
      </c>
      <c r="AB13" s="4" t="s">
        <v>40</v>
      </c>
      <c r="AC13" s="4" t="s">
        <v>40</v>
      </c>
      <c r="AD13" s="4">
        <v>1670</v>
      </c>
      <c r="AE13" s="4" t="s">
        <v>40</v>
      </c>
      <c r="AF13" s="4" t="s">
        <v>40</v>
      </c>
      <c r="AG13" s="4" t="s">
        <v>40</v>
      </c>
      <c r="AH13" s="4" t="s">
        <v>40</v>
      </c>
      <c r="AI13" s="4" t="s">
        <v>40</v>
      </c>
      <c r="AJ13" s="4" t="s">
        <v>40</v>
      </c>
      <c r="AK13" s="4" t="s">
        <v>40</v>
      </c>
      <c r="AL13" s="4" t="s">
        <v>40</v>
      </c>
      <c r="AM13" s="1" t="s">
        <v>214</v>
      </c>
    </row>
    <row r="14" spans="1:39" ht="25.5">
      <c r="A14" s="6" t="str">
        <f>HYPERLINK("https://www.bioscidb.com/tag/gettag/3d80878a-7ab7-41db-80b1-7aee9a67088e","Tag")</f>
        <v>Tag</v>
      </c>
      <c r="B14" s="15" t="s">
        <v>831</v>
      </c>
      <c r="C14" s="3" t="s">
        <v>217</v>
      </c>
      <c r="D14" s="11" t="s">
        <v>341</v>
      </c>
      <c r="E14" s="11" t="s">
        <v>342</v>
      </c>
      <c r="F14" s="11" t="s">
        <v>40</v>
      </c>
      <c r="G14" s="1" t="s">
        <v>162</v>
      </c>
      <c r="H14" s="6" t="str">
        <f>HYPERLINK("https://www.bioscidb.com/browse/deal_bg/16623","Deal")</f>
        <v>Deal</v>
      </c>
      <c r="I14" s="4">
        <v>5</v>
      </c>
      <c r="J14" s="4">
        <v>185</v>
      </c>
      <c r="K14" s="4" t="s">
        <v>40</v>
      </c>
      <c r="L14" s="4" t="s">
        <v>40</v>
      </c>
      <c r="M14" s="4" t="s">
        <v>40</v>
      </c>
      <c r="N14" s="11" t="s">
        <v>43</v>
      </c>
      <c r="O14" s="1" t="s">
        <v>132</v>
      </c>
      <c r="P14" s="11" t="s">
        <v>343</v>
      </c>
      <c r="Q14" s="1" t="s">
        <v>42</v>
      </c>
      <c r="R14" s="11" t="s">
        <v>68</v>
      </c>
      <c r="S14" s="11" t="s">
        <v>101</v>
      </c>
      <c r="T14" s="11" t="s">
        <v>344</v>
      </c>
      <c r="U14" s="1" t="s">
        <v>40</v>
      </c>
      <c r="V14" s="1" t="s">
        <v>40</v>
      </c>
      <c r="W14" s="4" t="s">
        <v>40</v>
      </c>
      <c r="X14" s="4" t="s">
        <v>40</v>
      </c>
      <c r="Y14" s="4" t="s">
        <v>40</v>
      </c>
      <c r="Z14" s="4" t="s">
        <v>40</v>
      </c>
      <c r="AA14" s="4" t="s">
        <v>40</v>
      </c>
      <c r="AB14" s="4" t="s">
        <v>40</v>
      </c>
      <c r="AC14" s="4" t="s">
        <v>40</v>
      </c>
      <c r="AD14" s="4">
        <v>185</v>
      </c>
      <c r="AE14" s="4" t="s">
        <v>40</v>
      </c>
      <c r="AF14" s="4" t="s">
        <v>40</v>
      </c>
      <c r="AG14" s="4" t="s">
        <v>40</v>
      </c>
      <c r="AH14" s="4" t="s">
        <v>40</v>
      </c>
      <c r="AI14" s="4" t="s">
        <v>40</v>
      </c>
      <c r="AJ14" s="4" t="s">
        <v>40</v>
      </c>
      <c r="AK14" s="4" t="s">
        <v>40</v>
      </c>
      <c r="AL14" s="4" t="s">
        <v>40</v>
      </c>
      <c r="AM14" s="1" t="s">
        <v>345</v>
      </c>
    </row>
    <row r="15" spans="1:39" ht="25.5">
      <c r="A15" s="6" t="str">
        <f>HYPERLINK("https://www.bioscidb.com/tag/gettag/b771661a-a7c6-41ca-90eb-3d73434b563c","Tag")</f>
        <v>Tag</v>
      </c>
      <c r="B15" s="15" t="s">
        <v>834</v>
      </c>
      <c r="C15" s="3" t="s">
        <v>217</v>
      </c>
      <c r="D15" s="11" t="s">
        <v>215</v>
      </c>
      <c r="E15" s="11" t="s">
        <v>216</v>
      </c>
      <c r="F15" s="11" t="s">
        <v>40</v>
      </c>
      <c r="G15" s="1" t="s">
        <v>162</v>
      </c>
      <c r="H15" s="6" t="str">
        <f>HYPERLINK("https://www.bioscidb.com/browse/deal_bg/15076","Deal")</f>
        <v>Deal</v>
      </c>
      <c r="I15" s="4">
        <v>10</v>
      </c>
      <c r="J15" s="4">
        <v>493</v>
      </c>
      <c r="K15" s="4" t="s">
        <v>40</v>
      </c>
      <c r="L15" s="4" t="s">
        <v>40</v>
      </c>
      <c r="M15" s="4" t="s">
        <v>40</v>
      </c>
      <c r="N15" s="11" t="s">
        <v>219</v>
      </c>
      <c r="O15" s="1" t="s">
        <v>220</v>
      </c>
      <c r="P15" s="11" t="s">
        <v>218</v>
      </c>
      <c r="Q15" s="1" t="s">
        <v>42</v>
      </c>
      <c r="R15" s="11" t="s">
        <v>68</v>
      </c>
      <c r="S15" s="11" t="s">
        <v>188</v>
      </c>
      <c r="T15" s="11" t="s">
        <v>221</v>
      </c>
      <c r="U15" s="1" t="s">
        <v>48</v>
      </c>
      <c r="V15" s="1" t="s">
        <v>49</v>
      </c>
      <c r="W15" s="4" t="s">
        <v>40</v>
      </c>
      <c r="X15" s="4" t="s">
        <v>40</v>
      </c>
      <c r="Y15" s="4" t="s">
        <v>40</v>
      </c>
      <c r="Z15" s="4" t="s">
        <v>40</v>
      </c>
      <c r="AA15" s="4" t="s">
        <v>40</v>
      </c>
      <c r="AB15" s="4">
        <v>63</v>
      </c>
      <c r="AC15" s="4" t="s">
        <v>40</v>
      </c>
      <c r="AD15" s="4">
        <v>73</v>
      </c>
      <c r="AE15" s="4">
        <v>420</v>
      </c>
      <c r="AF15" s="4" t="s">
        <v>40</v>
      </c>
      <c r="AG15" s="4" t="s">
        <v>40</v>
      </c>
      <c r="AH15" s="4" t="s">
        <v>40</v>
      </c>
      <c r="AI15" s="4" t="s">
        <v>40</v>
      </c>
      <c r="AJ15" s="4" t="s">
        <v>40</v>
      </c>
      <c r="AK15" s="4" t="s">
        <v>40</v>
      </c>
      <c r="AL15" s="4" t="s">
        <v>40</v>
      </c>
      <c r="AM15" s="1" t="s">
        <v>222</v>
      </c>
    </row>
    <row r="16" spans="1:39" ht="25.5">
      <c r="A16" s="6" t="str">
        <f>HYPERLINK("https://www.bioscidb.com/tag/gettag/1d5d4285-2fc3-4312-a793-2ef8e279a154","Tag")</f>
        <v>Tag</v>
      </c>
      <c r="B16" s="15" t="s">
        <v>827</v>
      </c>
      <c r="C16" s="3" t="s">
        <v>281</v>
      </c>
      <c r="D16" s="11" t="s">
        <v>279</v>
      </c>
      <c r="E16" s="11" t="s">
        <v>280</v>
      </c>
      <c r="F16" s="11" t="s">
        <v>285</v>
      </c>
      <c r="G16" s="1" t="s">
        <v>162</v>
      </c>
      <c r="H16" s="6" t="str">
        <f>HYPERLINK("https://www.bioscidb.com/browse/deal_bg/17294","Deal")</f>
        <v>Deal</v>
      </c>
      <c r="I16" s="4">
        <v>50</v>
      </c>
      <c r="J16" s="4">
        <v>530</v>
      </c>
      <c r="K16" s="4" t="s">
        <v>40</v>
      </c>
      <c r="L16" s="4" t="s">
        <v>40</v>
      </c>
      <c r="M16" s="4" t="s">
        <v>40</v>
      </c>
      <c r="N16" s="11" t="s">
        <v>283</v>
      </c>
      <c r="O16" s="1" t="s">
        <v>132</v>
      </c>
      <c r="P16" s="11" t="s">
        <v>282</v>
      </c>
      <c r="Q16" s="1" t="s">
        <v>42</v>
      </c>
      <c r="R16" s="11" t="s">
        <v>68</v>
      </c>
      <c r="S16" s="11" t="s">
        <v>111</v>
      </c>
      <c r="T16" s="11" t="s">
        <v>112</v>
      </c>
      <c r="U16" s="1" t="s">
        <v>113</v>
      </c>
      <c r="V16" s="1" t="s">
        <v>40</v>
      </c>
      <c r="W16" s="4" t="s">
        <v>40</v>
      </c>
      <c r="X16" s="4" t="s">
        <v>40</v>
      </c>
      <c r="Y16" s="4" t="s">
        <v>40</v>
      </c>
      <c r="Z16" s="4" t="s">
        <v>40</v>
      </c>
      <c r="AA16" s="4" t="s">
        <v>40</v>
      </c>
      <c r="AB16" s="4">
        <v>180</v>
      </c>
      <c r="AC16" s="4" t="s">
        <v>40</v>
      </c>
      <c r="AD16" s="4">
        <v>230</v>
      </c>
      <c r="AE16" s="4">
        <v>300</v>
      </c>
      <c r="AF16" s="4" t="s">
        <v>40</v>
      </c>
      <c r="AG16" s="4" t="s">
        <v>40</v>
      </c>
      <c r="AH16" s="4" t="s">
        <v>40</v>
      </c>
      <c r="AI16" s="4" t="s">
        <v>40</v>
      </c>
      <c r="AJ16" s="4" t="s">
        <v>40</v>
      </c>
      <c r="AK16" s="4" t="s">
        <v>40</v>
      </c>
      <c r="AL16" s="4" t="s">
        <v>40</v>
      </c>
      <c r="AM16" s="1" t="s">
        <v>284</v>
      </c>
    </row>
    <row r="17" spans="1:39" ht="38.25">
      <c r="A17" s="6" t="str">
        <f>HYPERLINK("https://www.bioscidb.com/tag/gettag/72fb2dc4-61a1-485b-9373-859cb9309e06","Tag")</f>
        <v>Tag</v>
      </c>
      <c r="B17" s="15" t="s">
        <v>827</v>
      </c>
      <c r="C17" s="3" t="s">
        <v>354</v>
      </c>
      <c r="D17" s="11" t="s">
        <v>353</v>
      </c>
      <c r="E17" s="11" t="s">
        <v>238</v>
      </c>
      <c r="F17" s="11" t="s">
        <v>85</v>
      </c>
      <c r="G17" s="1" t="s">
        <v>162</v>
      </c>
      <c r="H17" s="6" t="str">
        <f>HYPERLINK("https://www.bioscidb.com/browse/deal_bg/14801","Deal")</f>
        <v>Deal</v>
      </c>
      <c r="I17" s="4">
        <v>17.5</v>
      </c>
      <c r="J17" s="4">
        <v>749.5</v>
      </c>
      <c r="K17" s="4" t="s">
        <v>40</v>
      </c>
      <c r="L17" s="4">
        <v>32.5</v>
      </c>
      <c r="M17" s="4" t="s">
        <v>40</v>
      </c>
      <c r="N17" s="11" t="s">
        <v>275</v>
      </c>
      <c r="O17" s="1" t="s">
        <v>110</v>
      </c>
      <c r="P17" s="11" t="s">
        <v>355</v>
      </c>
      <c r="Q17" s="1" t="s">
        <v>42</v>
      </c>
      <c r="R17" s="11" t="s">
        <v>68</v>
      </c>
      <c r="S17" s="11" t="s">
        <v>356</v>
      </c>
      <c r="T17" s="11" t="s">
        <v>357</v>
      </c>
      <c r="U17" s="1" t="s">
        <v>48</v>
      </c>
      <c r="V17" s="1" t="s">
        <v>49</v>
      </c>
      <c r="W17" s="4">
        <v>32.5</v>
      </c>
      <c r="X17" s="4" t="s">
        <v>40</v>
      </c>
      <c r="Y17" s="4">
        <v>12</v>
      </c>
      <c r="Z17" s="4" t="s">
        <v>40</v>
      </c>
      <c r="AA17" s="4" t="s">
        <v>40</v>
      </c>
      <c r="AB17" s="4">
        <v>197.5</v>
      </c>
      <c r="AC17" s="4" t="s">
        <v>40</v>
      </c>
      <c r="AD17" s="4">
        <v>259.5</v>
      </c>
      <c r="AE17" s="4">
        <v>490</v>
      </c>
      <c r="AF17" s="4" t="s">
        <v>40</v>
      </c>
      <c r="AG17" s="4" t="s">
        <v>40</v>
      </c>
      <c r="AH17" s="4" t="s">
        <v>40</v>
      </c>
      <c r="AI17" s="4" t="s">
        <v>40</v>
      </c>
      <c r="AJ17" s="4" t="s">
        <v>40</v>
      </c>
      <c r="AK17" s="4" t="s">
        <v>40</v>
      </c>
      <c r="AL17" s="4" t="s">
        <v>40</v>
      </c>
      <c r="AM17" s="1" t="s">
        <v>358</v>
      </c>
    </row>
    <row r="18" spans="1:39" ht="37.5" customHeight="1">
      <c r="A18" s="6" t="str">
        <f>HYPERLINK("https://www.bioscidb.com/tag/gettag/c80b0717-e3b1-40c8-9daf-06aeb8be51c8","Tag")</f>
        <v>Tag</v>
      </c>
      <c r="B18" s="15" t="s">
        <v>836</v>
      </c>
      <c r="C18" s="3" t="s">
        <v>479</v>
      </c>
      <c r="D18" s="11" t="s">
        <v>477</v>
      </c>
      <c r="E18" s="11" t="s">
        <v>478</v>
      </c>
      <c r="F18" s="11" t="s">
        <v>285</v>
      </c>
      <c r="G18" s="1" t="s">
        <v>162</v>
      </c>
      <c r="H18" s="6" t="str">
        <f>HYPERLINK("https://www.bioscidb.com/browse/deal_bg/13956","Deal")</f>
        <v>Deal</v>
      </c>
      <c r="I18" s="4">
        <v>5</v>
      </c>
      <c r="J18" s="4">
        <v>101</v>
      </c>
      <c r="K18" s="4" t="s">
        <v>40</v>
      </c>
      <c r="L18" s="4" t="s">
        <v>40</v>
      </c>
      <c r="M18" s="4" t="s">
        <v>40</v>
      </c>
      <c r="N18" s="11" t="s">
        <v>43</v>
      </c>
      <c r="O18" s="1" t="s">
        <v>40</v>
      </c>
      <c r="P18" s="11" t="s">
        <v>480</v>
      </c>
      <c r="Q18" s="1" t="s">
        <v>42</v>
      </c>
      <c r="R18" s="11" t="s">
        <v>68</v>
      </c>
      <c r="S18" s="11" t="s">
        <v>40</v>
      </c>
      <c r="T18" s="11" t="s">
        <v>40</v>
      </c>
      <c r="U18" s="1" t="s">
        <v>48</v>
      </c>
      <c r="V18" s="1" t="s">
        <v>49</v>
      </c>
      <c r="W18" s="4" t="s">
        <v>40</v>
      </c>
      <c r="X18" s="4" t="s">
        <v>40</v>
      </c>
      <c r="Y18" s="4" t="s">
        <v>40</v>
      </c>
      <c r="Z18" s="4" t="s">
        <v>40</v>
      </c>
      <c r="AA18" s="4" t="s">
        <v>40</v>
      </c>
      <c r="AB18" s="4" t="s">
        <v>40</v>
      </c>
      <c r="AC18" s="4" t="s">
        <v>40</v>
      </c>
      <c r="AD18" s="4">
        <v>101</v>
      </c>
      <c r="AE18" s="4" t="s">
        <v>40</v>
      </c>
      <c r="AF18" s="4" t="s">
        <v>40</v>
      </c>
      <c r="AG18" s="4" t="s">
        <v>40</v>
      </c>
      <c r="AH18" s="4" t="s">
        <v>40</v>
      </c>
      <c r="AI18" s="4" t="s">
        <v>40</v>
      </c>
      <c r="AJ18" s="4" t="s">
        <v>40</v>
      </c>
      <c r="AK18" s="4" t="s">
        <v>40</v>
      </c>
      <c r="AL18" s="4" t="s">
        <v>40</v>
      </c>
      <c r="AM18" s="1" t="s">
        <v>481</v>
      </c>
    </row>
    <row r="19" spans="1:39" ht="25.5">
      <c r="A19" s="6" t="str">
        <f>HYPERLINK("https://www.bioscidb.com/tag/gettag/e646fc8d-b002-4782-ad74-297e46c827c1","Tag")</f>
        <v>Tag</v>
      </c>
      <c r="B19" s="15" t="s">
        <v>827</v>
      </c>
      <c r="C19" s="3" t="s">
        <v>288</v>
      </c>
      <c r="D19" s="11" t="s">
        <v>286</v>
      </c>
      <c r="E19" s="11" t="s">
        <v>287</v>
      </c>
      <c r="F19" s="11" t="s">
        <v>169</v>
      </c>
      <c r="G19" s="1" t="s">
        <v>162</v>
      </c>
      <c r="H19" s="6" t="str">
        <f>HYPERLINK("https://www.bioscidb.com/browse/deal_bg/13822","Deal")</f>
        <v>Deal</v>
      </c>
      <c r="I19" s="4">
        <v>20</v>
      </c>
      <c r="J19" s="4">
        <v>722</v>
      </c>
      <c r="K19" s="4" t="s">
        <v>40</v>
      </c>
      <c r="L19" s="4" t="s">
        <v>40</v>
      </c>
      <c r="M19" s="4" t="s">
        <v>40</v>
      </c>
      <c r="N19" s="11" t="s">
        <v>144</v>
      </c>
      <c r="O19" s="1" t="s">
        <v>110</v>
      </c>
      <c r="P19" s="11" t="s">
        <v>482</v>
      </c>
      <c r="Q19" s="1" t="s">
        <v>42</v>
      </c>
      <c r="R19" s="11" t="s">
        <v>68</v>
      </c>
      <c r="S19" s="11" t="s">
        <v>393</v>
      </c>
      <c r="T19" s="11" t="s">
        <v>40</v>
      </c>
      <c r="U19" s="1" t="s">
        <v>113</v>
      </c>
      <c r="V19" s="1" t="s">
        <v>289</v>
      </c>
      <c r="W19" s="4" t="s">
        <v>40</v>
      </c>
      <c r="X19" s="4" t="s">
        <v>40</v>
      </c>
      <c r="Y19" s="4" t="s">
        <v>40</v>
      </c>
      <c r="Z19" s="4" t="s">
        <v>40</v>
      </c>
      <c r="AA19" s="4" t="s">
        <v>40</v>
      </c>
      <c r="AB19" s="4" t="s">
        <v>40</v>
      </c>
      <c r="AC19" s="4" t="s">
        <v>40</v>
      </c>
      <c r="AD19" s="4">
        <v>722</v>
      </c>
      <c r="AE19" s="4" t="s">
        <v>40</v>
      </c>
      <c r="AF19" s="4" t="s">
        <v>40</v>
      </c>
      <c r="AG19" s="4" t="s">
        <v>40</v>
      </c>
      <c r="AH19" s="4" t="s">
        <v>40</v>
      </c>
      <c r="AI19" s="4" t="s">
        <v>40</v>
      </c>
      <c r="AJ19" s="4" t="s">
        <v>40</v>
      </c>
      <c r="AK19" s="4" t="s">
        <v>40</v>
      </c>
      <c r="AL19" s="4" t="s">
        <v>40</v>
      </c>
      <c r="AM19" s="1" t="s">
        <v>483</v>
      </c>
    </row>
    <row r="20" spans="1:39" ht="25.5">
      <c r="A20" s="6" t="str">
        <f>HYPERLINK("https://www.bioscidb.com/tag/gettag/61b87b24-59b6-426e-970c-555a0a83b1fe","Tag")</f>
        <v>Tag</v>
      </c>
      <c r="B20" s="11" t="s">
        <v>837</v>
      </c>
      <c r="C20" s="3" t="s">
        <v>225</v>
      </c>
      <c r="D20" s="11" t="s">
        <v>223</v>
      </c>
      <c r="E20" s="11" t="s">
        <v>224</v>
      </c>
      <c r="F20" s="11" t="s">
        <v>85</v>
      </c>
      <c r="G20" s="1" t="s">
        <v>162</v>
      </c>
      <c r="H20" s="6" t="str">
        <f>HYPERLINK("https://www.bioscidb.com/browse/deal_bg/13632","Deal")</f>
        <v>Deal</v>
      </c>
      <c r="I20" s="4">
        <v>175</v>
      </c>
      <c r="J20" s="4">
        <v>3750</v>
      </c>
      <c r="K20" s="4" t="s">
        <v>40</v>
      </c>
      <c r="L20" s="4">
        <v>75</v>
      </c>
      <c r="M20" s="4" t="s">
        <v>40</v>
      </c>
      <c r="N20" s="11" t="s">
        <v>227</v>
      </c>
      <c r="O20" s="1" t="s">
        <v>211</v>
      </c>
      <c r="P20" s="11" t="s">
        <v>226</v>
      </c>
      <c r="Q20" s="1" t="s">
        <v>42</v>
      </c>
      <c r="R20" s="11" t="s">
        <v>68</v>
      </c>
      <c r="S20" s="11" t="s">
        <v>101</v>
      </c>
      <c r="T20" s="11" t="s">
        <v>212</v>
      </c>
      <c r="U20" s="1" t="s">
        <v>166</v>
      </c>
      <c r="V20" s="1" t="s">
        <v>213</v>
      </c>
      <c r="W20" s="4">
        <v>75</v>
      </c>
      <c r="X20" s="4" t="s">
        <v>40</v>
      </c>
      <c r="Y20" s="4" t="s">
        <v>40</v>
      </c>
      <c r="Z20" s="4" t="s">
        <v>40</v>
      </c>
      <c r="AA20" s="4" t="s">
        <v>40</v>
      </c>
      <c r="AB20" s="4" t="s">
        <v>40</v>
      </c>
      <c r="AC20" s="4" t="s">
        <v>40</v>
      </c>
      <c r="AD20" s="4">
        <v>3750</v>
      </c>
      <c r="AE20" s="4" t="s">
        <v>40</v>
      </c>
      <c r="AF20" s="4" t="s">
        <v>40</v>
      </c>
      <c r="AG20" s="4" t="s">
        <v>40</v>
      </c>
      <c r="AH20" s="4" t="s">
        <v>40</v>
      </c>
      <c r="AI20" s="4" t="s">
        <v>40</v>
      </c>
      <c r="AJ20" s="4" t="s">
        <v>40</v>
      </c>
      <c r="AK20" s="4" t="s">
        <v>40</v>
      </c>
      <c r="AL20" s="4" t="s">
        <v>40</v>
      </c>
      <c r="AM20" s="1" t="s">
        <v>228</v>
      </c>
    </row>
    <row r="21" spans="1:39" ht="25.5">
      <c r="A21" s="6" t="str">
        <f>HYPERLINK("https://www.bioscidb.com/tag/gettag/ed154733-ef6a-4838-a108-98dd37a85293","Tag")</f>
        <v>Tag</v>
      </c>
      <c r="B21" s="11" t="s">
        <v>830</v>
      </c>
      <c r="C21" s="3" t="s">
        <v>225</v>
      </c>
      <c r="D21" s="11" t="s">
        <v>484</v>
      </c>
      <c r="E21" s="11" t="s">
        <v>485</v>
      </c>
      <c r="F21" s="11" t="s">
        <v>40</v>
      </c>
      <c r="G21" s="1" t="s">
        <v>162</v>
      </c>
      <c r="H21" s="6" t="str">
        <f>HYPERLINK("https://www.bioscidb.com/browse/deal_bg/13692","Deal")</f>
        <v>Deal</v>
      </c>
      <c r="I21" s="4">
        <v>5</v>
      </c>
      <c r="J21" s="4">
        <v>44</v>
      </c>
      <c r="K21" s="4" t="s">
        <v>40</v>
      </c>
      <c r="L21" s="4" t="s">
        <v>40</v>
      </c>
      <c r="M21" s="4" t="s">
        <v>40</v>
      </c>
      <c r="N21" s="11" t="s">
        <v>487</v>
      </c>
      <c r="O21" s="1" t="s">
        <v>45</v>
      </c>
      <c r="P21" s="11" t="s">
        <v>486</v>
      </c>
      <c r="Q21" s="1" t="s">
        <v>42</v>
      </c>
      <c r="R21" s="11" t="s">
        <v>68</v>
      </c>
      <c r="S21" s="11" t="s">
        <v>488</v>
      </c>
      <c r="T21" s="11" t="s">
        <v>489</v>
      </c>
      <c r="U21" s="1" t="s">
        <v>490</v>
      </c>
      <c r="V21" s="1" t="s">
        <v>40</v>
      </c>
      <c r="W21" s="4" t="s">
        <v>40</v>
      </c>
      <c r="X21" s="4" t="s">
        <v>40</v>
      </c>
      <c r="Y21" s="4" t="s">
        <v>40</v>
      </c>
      <c r="Z21" s="4" t="s">
        <v>40</v>
      </c>
      <c r="AA21" s="4" t="s">
        <v>40</v>
      </c>
      <c r="AB21" s="4">
        <v>15</v>
      </c>
      <c r="AC21" s="4">
        <v>24</v>
      </c>
      <c r="AD21" s="4">
        <v>44</v>
      </c>
      <c r="AE21" s="4" t="s">
        <v>40</v>
      </c>
      <c r="AF21" s="4" t="s">
        <v>40</v>
      </c>
      <c r="AG21" s="4" t="s">
        <v>40</v>
      </c>
      <c r="AH21" s="4" t="s">
        <v>40</v>
      </c>
      <c r="AI21" s="4" t="s">
        <v>40</v>
      </c>
      <c r="AJ21" s="4" t="s">
        <v>40</v>
      </c>
      <c r="AK21" s="4" t="s">
        <v>40</v>
      </c>
      <c r="AL21" s="4" t="s">
        <v>40</v>
      </c>
      <c r="AM21" s="1" t="s">
        <v>491</v>
      </c>
    </row>
    <row r="22" spans="1:39" ht="38.25">
      <c r="A22" s="6" t="str">
        <f>HYPERLINK("https://www.bioscidb.com/tag/gettag/62429be4-3cf8-4183-89e5-42f678046f09","Tag")</f>
        <v>Tag</v>
      </c>
      <c r="B22" s="15" t="s">
        <v>836</v>
      </c>
      <c r="C22" s="3" t="s">
        <v>225</v>
      </c>
      <c r="D22" s="11" t="s">
        <v>817</v>
      </c>
      <c r="E22" s="11" t="s">
        <v>208</v>
      </c>
      <c r="F22" s="11" t="s">
        <v>85</v>
      </c>
      <c r="G22" s="1" t="s">
        <v>162</v>
      </c>
      <c r="H22" s="6" t="str">
        <f>HYPERLINK("https://www.bioscidb.com/browse/deal_bg/17509","Deal")</f>
        <v>Deal</v>
      </c>
      <c r="I22" s="4">
        <v>45</v>
      </c>
      <c r="J22" s="4">
        <v>1702</v>
      </c>
      <c r="K22" s="4">
        <v>50</v>
      </c>
      <c r="L22" s="4" t="s">
        <v>40</v>
      </c>
      <c r="M22" s="4" t="s">
        <v>40</v>
      </c>
      <c r="N22" s="11" t="s">
        <v>126</v>
      </c>
      <c r="O22" s="1" t="s">
        <v>545</v>
      </c>
      <c r="P22" s="11" t="s">
        <v>818</v>
      </c>
      <c r="Q22" s="1" t="s">
        <v>42</v>
      </c>
      <c r="R22" s="11" t="s">
        <v>68</v>
      </c>
      <c r="S22" s="11" t="s">
        <v>819</v>
      </c>
      <c r="T22" s="11" t="s">
        <v>820</v>
      </c>
      <c r="U22" s="1" t="s">
        <v>821</v>
      </c>
      <c r="V22" s="1" t="s">
        <v>40</v>
      </c>
      <c r="W22" s="4" t="s">
        <v>40</v>
      </c>
      <c r="X22" s="4" t="s">
        <v>40</v>
      </c>
      <c r="Y22" s="4" t="s">
        <v>40</v>
      </c>
      <c r="Z22" s="4" t="s">
        <v>40</v>
      </c>
      <c r="AA22" s="4" t="s">
        <v>40</v>
      </c>
      <c r="AB22" s="4">
        <v>457</v>
      </c>
      <c r="AC22" s="4" t="s">
        <v>40</v>
      </c>
      <c r="AD22" s="4">
        <v>502</v>
      </c>
      <c r="AE22" s="4">
        <v>1200</v>
      </c>
      <c r="AF22" s="4" t="s">
        <v>40</v>
      </c>
      <c r="AG22" s="4" t="s">
        <v>40</v>
      </c>
      <c r="AH22" s="4" t="s">
        <v>40</v>
      </c>
      <c r="AI22" s="4" t="s">
        <v>40</v>
      </c>
      <c r="AJ22" s="4" t="s">
        <v>40</v>
      </c>
      <c r="AK22" s="4" t="s">
        <v>40</v>
      </c>
      <c r="AL22" s="4">
        <v>50</v>
      </c>
      <c r="AM22" s="1" t="s">
        <v>822</v>
      </c>
    </row>
    <row r="23" spans="1:39" ht="25.5">
      <c r="A23" s="6" t="str">
        <f>HYPERLINK("https://www.bioscidb.com/tag/gettag/d2a5e91b-f53f-470e-a0a4-1853d3f37847","Tag")</f>
        <v>Tag</v>
      </c>
      <c r="B23" s="11" t="s">
        <v>838</v>
      </c>
      <c r="C23" s="3" t="s">
        <v>231</v>
      </c>
      <c r="D23" s="11" t="s">
        <v>229</v>
      </c>
      <c r="E23" s="11" t="s">
        <v>230</v>
      </c>
      <c r="F23" s="11" t="s">
        <v>237</v>
      </c>
      <c r="G23" s="1" t="s">
        <v>162</v>
      </c>
      <c r="H23" s="6" t="str">
        <f>HYPERLINK("https://www.bioscidb.com/browse/deal_bg/13548","Deal")</f>
        <v>Deal</v>
      </c>
      <c r="I23" s="4" t="s">
        <v>40</v>
      </c>
      <c r="J23" s="4">
        <v>485</v>
      </c>
      <c r="K23" s="4" t="s">
        <v>40</v>
      </c>
      <c r="L23" s="4" t="s">
        <v>40</v>
      </c>
      <c r="M23" s="4" t="s">
        <v>40</v>
      </c>
      <c r="N23" s="11" t="s">
        <v>234</v>
      </c>
      <c r="O23" s="1" t="s">
        <v>110</v>
      </c>
      <c r="P23" s="11" t="s">
        <v>233</v>
      </c>
      <c r="Q23" s="1" t="s">
        <v>42</v>
      </c>
      <c r="R23" s="11" t="s">
        <v>68</v>
      </c>
      <c r="S23" s="11" t="s">
        <v>101</v>
      </c>
      <c r="T23" s="11" t="s">
        <v>212</v>
      </c>
      <c r="U23" s="1" t="s">
        <v>235</v>
      </c>
      <c r="V23" s="1" t="s">
        <v>40</v>
      </c>
      <c r="W23" s="4" t="s">
        <v>40</v>
      </c>
      <c r="X23" s="4" t="s">
        <v>40</v>
      </c>
      <c r="Y23" s="4">
        <v>40</v>
      </c>
      <c r="Z23" s="4" t="s">
        <v>40</v>
      </c>
      <c r="AA23" s="4" t="s">
        <v>40</v>
      </c>
      <c r="AB23" s="4">
        <v>105</v>
      </c>
      <c r="AC23" s="4" t="s">
        <v>40</v>
      </c>
      <c r="AD23" s="4">
        <v>145</v>
      </c>
      <c r="AE23" s="4">
        <v>340</v>
      </c>
      <c r="AF23" s="4" t="s">
        <v>40</v>
      </c>
      <c r="AG23" s="4" t="s">
        <v>40</v>
      </c>
      <c r="AH23" s="4" t="s">
        <v>40</v>
      </c>
      <c r="AI23" s="4" t="s">
        <v>40</v>
      </c>
      <c r="AJ23" s="4" t="s">
        <v>40</v>
      </c>
      <c r="AK23" s="4" t="s">
        <v>40</v>
      </c>
      <c r="AL23" s="4" t="s">
        <v>40</v>
      </c>
      <c r="AM23" s="1" t="s">
        <v>236</v>
      </c>
    </row>
    <row r="24" spans="1:39" ht="38.25" customHeight="1">
      <c r="A24" s="6" t="str">
        <f>HYPERLINK("https://www.bioscidb.com/tag/gettag/de920092-bd24-4e4b-afa3-95adf4cb5d91","Tag")</f>
        <v>Tag</v>
      </c>
      <c r="B24" s="11" t="s">
        <v>839</v>
      </c>
      <c r="C24" s="3" t="s">
        <v>159</v>
      </c>
      <c r="D24" s="11" t="s">
        <v>157</v>
      </c>
      <c r="E24" s="11" t="s">
        <v>158</v>
      </c>
      <c r="F24" s="11" t="s">
        <v>169</v>
      </c>
      <c r="G24" s="1" t="s">
        <v>162</v>
      </c>
      <c r="H24" s="6" t="str">
        <f>HYPERLINK("https://www.bioscidb.com/browse/deal_bg/13779","Deal")</f>
        <v>Deal</v>
      </c>
      <c r="I24" s="4">
        <v>12</v>
      </c>
      <c r="J24" s="4">
        <v>26</v>
      </c>
      <c r="K24" s="4" t="s">
        <v>40</v>
      </c>
      <c r="L24" s="4" t="s">
        <v>40</v>
      </c>
      <c r="M24" s="4" t="s">
        <v>40</v>
      </c>
      <c r="N24" s="11" t="s">
        <v>161</v>
      </c>
      <c r="O24" s="1" t="s">
        <v>163</v>
      </c>
      <c r="P24" s="11" t="s">
        <v>160</v>
      </c>
      <c r="Q24" s="1" t="s">
        <v>42</v>
      </c>
      <c r="R24" s="11" t="s">
        <v>170</v>
      </c>
      <c r="S24" s="11" t="s">
        <v>164</v>
      </c>
      <c r="T24" s="11" t="s">
        <v>165</v>
      </c>
      <c r="U24" s="1" t="s">
        <v>166</v>
      </c>
      <c r="V24" s="1" t="s">
        <v>167</v>
      </c>
      <c r="W24" s="4" t="s">
        <v>40</v>
      </c>
      <c r="X24" s="4" t="s">
        <v>40</v>
      </c>
      <c r="Y24" s="4" t="s">
        <v>40</v>
      </c>
      <c r="Z24" s="4" t="s">
        <v>40</v>
      </c>
      <c r="AA24" s="4" t="s">
        <v>40</v>
      </c>
      <c r="AB24" s="4">
        <v>4</v>
      </c>
      <c r="AC24" s="4">
        <v>10</v>
      </c>
      <c r="AD24" s="4">
        <v>26</v>
      </c>
      <c r="AE24" s="4" t="s">
        <v>40</v>
      </c>
      <c r="AF24" s="4" t="s">
        <v>40</v>
      </c>
      <c r="AG24" s="4" t="s">
        <v>40</v>
      </c>
      <c r="AH24" s="4" t="s">
        <v>40</v>
      </c>
      <c r="AI24" s="4" t="s">
        <v>40</v>
      </c>
      <c r="AJ24" s="4" t="s">
        <v>40</v>
      </c>
      <c r="AK24" s="4" t="s">
        <v>40</v>
      </c>
      <c r="AL24" s="4" t="s">
        <v>40</v>
      </c>
      <c r="AM24" s="1" t="s">
        <v>168</v>
      </c>
    </row>
    <row r="25" spans="1:39" ht="25.5">
      <c r="A25" s="6" t="str">
        <f>HYPERLINK("https://www.bioscidb.com/tag/gettag/0c1d6473-0e4f-4300-b2ec-493cfc778d8d","Tag")</f>
        <v>Tag</v>
      </c>
      <c r="B25" s="15" t="s">
        <v>827</v>
      </c>
      <c r="C25" s="3" t="s">
        <v>725</v>
      </c>
      <c r="D25" s="11" t="s">
        <v>724</v>
      </c>
      <c r="E25" s="11" t="s">
        <v>75</v>
      </c>
      <c r="F25" s="11" t="s">
        <v>85</v>
      </c>
      <c r="G25" s="1" t="s">
        <v>162</v>
      </c>
      <c r="H25" s="6" t="str">
        <f>HYPERLINK("https://www.bioscidb.com/browse/deal_bg/13392","Deal")</f>
        <v>Deal</v>
      </c>
      <c r="I25" s="4">
        <v>60</v>
      </c>
      <c r="J25" s="4">
        <v>1690</v>
      </c>
      <c r="K25" s="4" t="s">
        <v>40</v>
      </c>
      <c r="L25" s="4">
        <v>30</v>
      </c>
      <c r="M25" s="4" t="s">
        <v>40</v>
      </c>
      <c r="N25" s="11" t="s">
        <v>727</v>
      </c>
      <c r="O25" s="1" t="s">
        <v>110</v>
      </c>
      <c r="P25" s="11" t="s">
        <v>726</v>
      </c>
      <c r="Q25" s="1" t="s">
        <v>42</v>
      </c>
      <c r="R25" s="11" t="s">
        <v>68</v>
      </c>
      <c r="S25" s="11" t="s">
        <v>697</v>
      </c>
      <c r="T25" s="11" t="s">
        <v>698</v>
      </c>
      <c r="U25" s="1" t="s">
        <v>113</v>
      </c>
      <c r="V25" s="1" t="s">
        <v>728</v>
      </c>
      <c r="W25" s="4">
        <v>20</v>
      </c>
      <c r="X25" s="4">
        <v>10</v>
      </c>
      <c r="Y25" s="4" t="s">
        <v>40</v>
      </c>
      <c r="Z25" s="4" t="s">
        <v>40</v>
      </c>
      <c r="AA25" s="4" t="s">
        <v>40</v>
      </c>
      <c r="AB25" s="4" t="s">
        <v>40</v>
      </c>
      <c r="AC25" s="4" t="s">
        <v>40</v>
      </c>
      <c r="AD25" s="4">
        <v>1690</v>
      </c>
      <c r="AE25" s="4" t="s">
        <v>40</v>
      </c>
      <c r="AF25" s="4" t="s">
        <v>40</v>
      </c>
      <c r="AG25" s="4" t="s">
        <v>40</v>
      </c>
      <c r="AH25" s="4" t="s">
        <v>40</v>
      </c>
      <c r="AI25" s="4" t="s">
        <v>40</v>
      </c>
      <c r="AJ25" s="4" t="s">
        <v>40</v>
      </c>
      <c r="AK25" s="4" t="s">
        <v>40</v>
      </c>
      <c r="AL25" s="4" t="s">
        <v>40</v>
      </c>
      <c r="AM25" s="1" t="s">
        <v>729</v>
      </c>
    </row>
    <row r="26" spans="1:39" ht="38.25" customHeight="1">
      <c r="A26" s="6" t="str">
        <f>HYPERLINK("https://www.bioscidb.com/tag/gettag/e832e988-1d4b-4e86-9b03-50637d0e86b0","Tag")</f>
        <v>Tag</v>
      </c>
      <c r="B26" s="11" t="s">
        <v>840</v>
      </c>
      <c r="C26" s="3" t="s">
        <v>732</v>
      </c>
      <c r="D26" s="11" t="s">
        <v>730</v>
      </c>
      <c r="E26" s="11" t="s">
        <v>731</v>
      </c>
      <c r="F26" s="11" t="s">
        <v>40</v>
      </c>
      <c r="G26" s="1" t="s">
        <v>443</v>
      </c>
      <c r="H26" s="6" t="str">
        <f>HYPERLINK("https://www.bioscidb.com/browse/deal_bg/15298","Deal")</f>
        <v>Deal</v>
      </c>
      <c r="I26" s="4" t="s">
        <v>40</v>
      </c>
      <c r="J26" s="4" t="s">
        <v>40</v>
      </c>
      <c r="K26" s="4" t="s">
        <v>40</v>
      </c>
      <c r="L26" s="4" t="s">
        <v>40</v>
      </c>
      <c r="M26" s="4" t="s">
        <v>40</v>
      </c>
      <c r="N26" s="11" t="s">
        <v>734</v>
      </c>
      <c r="O26" s="1" t="s">
        <v>40</v>
      </c>
      <c r="P26" s="11" t="s">
        <v>733</v>
      </c>
      <c r="Q26" s="1" t="s">
        <v>42</v>
      </c>
      <c r="R26" s="11" t="s">
        <v>290</v>
      </c>
      <c r="S26" s="11" t="s">
        <v>40</v>
      </c>
      <c r="T26" s="11" t="s">
        <v>40</v>
      </c>
      <c r="U26" s="1" t="s">
        <v>394</v>
      </c>
      <c r="V26" s="1" t="s">
        <v>40</v>
      </c>
      <c r="W26" s="4" t="s">
        <v>40</v>
      </c>
      <c r="X26" s="4" t="s">
        <v>40</v>
      </c>
      <c r="Y26" s="4" t="s">
        <v>40</v>
      </c>
      <c r="Z26" s="4" t="s">
        <v>40</v>
      </c>
      <c r="AA26" s="4" t="s">
        <v>40</v>
      </c>
      <c r="AB26" s="4" t="s">
        <v>40</v>
      </c>
      <c r="AC26" s="4" t="s">
        <v>40</v>
      </c>
      <c r="AD26" s="4" t="s">
        <v>40</v>
      </c>
      <c r="AE26" s="4" t="s">
        <v>40</v>
      </c>
      <c r="AF26" s="4" t="s">
        <v>40</v>
      </c>
      <c r="AG26" s="4" t="s">
        <v>40</v>
      </c>
      <c r="AH26" s="4" t="s">
        <v>40</v>
      </c>
      <c r="AI26" s="4" t="s">
        <v>40</v>
      </c>
      <c r="AJ26" s="4" t="s">
        <v>40</v>
      </c>
      <c r="AK26" s="4" t="s">
        <v>40</v>
      </c>
      <c r="AL26" s="4" t="s">
        <v>40</v>
      </c>
      <c r="AM26" s="1" t="s">
        <v>40</v>
      </c>
    </row>
    <row r="27" spans="1:39" ht="38.25">
      <c r="A27" s="6" t="str">
        <f>HYPERLINK("https://www.bioscidb.com/tag/gettag/a68d1684-3305-4b4e-9ba7-6ca2bd4b60bf","Tag")</f>
        <v>Tag</v>
      </c>
      <c r="B27" s="15" t="s">
        <v>827</v>
      </c>
      <c r="C27" s="3" t="s">
        <v>348</v>
      </c>
      <c r="D27" s="11" t="s">
        <v>346</v>
      </c>
      <c r="E27" s="11" t="s">
        <v>347</v>
      </c>
      <c r="F27" s="11" t="s">
        <v>169</v>
      </c>
      <c r="G27" s="1" t="s">
        <v>162</v>
      </c>
      <c r="H27" s="6" t="str">
        <f>HYPERLINK("https://www.bioscidb.com/browse/deal_bg/13756","Deal")</f>
        <v>Deal</v>
      </c>
      <c r="I27" s="4" t="s">
        <v>40</v>
      </c>
      <c r="J27" s="4">
        <v>29.7</v>
      </c>
      <c r="K27" s="4" t="s">
        <v>40</v>
      </c>
      <c r="L27" s="4">
        <v>1.2</v>
      </c>
      <c r="M27" s="4" t="s">
        <v>40</v>
      </c>
      <c r="N27" s="11" t="s">
        <v>275</v>
      </c>
      <c r="O27" s="1" t="s">
        <v>350</v>
      </c>
      <c r="P27" s="11" t="s">
        <v>349</v>
      </c>
      <c r="Q27" s="1" t="s">
        <v>42</v>
      </c>
      <c r="R27" s="11" t="s">
        <v>68</v>
      </c>
      <c r="S27" s="11" t="s">
        <v>315</v>
      </c>
      <c r="T27" s="11" t="s">
        <v>351</v>
      </c>
      <c r="U27" s="1" t="s">
        <v>235</v>
      </c>
      <c r="V27" s="1" t="s">
        <v>40</v>
      </c>
      <c r="W27" s="4">
        <v>1.2</v>
      </c>
      <c r="X27" s="4" t="s">
        <v>40</v>
      </c>
      <c r="Y27" s="4">
        <v>8.5</v>
      </c>
      <c r="Z27" s="4" t="s">
        <v>40</v>
      </c>
      <c r="AA27" s="4" t="s">
        <v>40</v>
      </c>
      <c r="AB27" s="4" t="s">
        <v>40</v>
      </c>
      <c r="AC27" s="4" t="s">
        <v>40</v>
      </c>
      <c r="AD27" s="4">
        <v>29.7</v>
      </c>
      <c r="AE27" s="4" t="s">
        <v>40</v>
      </c>
      <c r="AF27" s="4" t="s">
        <v>40</v>
      </c>
      <c r="AG27" s="4" t="s">
        <v>40</v>
      </c>
      <c r="AH27" s="4" t="s">
        <v>40</v>
      </c>
      <c r="AI27" s="4" t="s">
        <v>40</v>
      </c>
      <c r="AJ27" s="4" t="s">
        <v>40</v>
      </c>
      <c r="AK27" s="4" t="s">
        <v>40</v>
      </c>
      <c r="AL27" s="4" t="s">
        <v>40</v>
      </c>
      <c r="AM27" s="1" t="s">
        <v>352</v>
      </c>
    </row>
    <row r="28" spans="1:39" ht="25.5">
      <c r="A28" s="6" t="str">
        <f>HYPERLINK("https://www.bioscidb.com/tag/gettag/d3e323e1-d231-4806-87f0-a3fc477b916b","Tag")</f>
        <v>Tag</v>
      </c>
      <c r="B28" s="11" t="s">
        <v>841</v>
      </c>
      <c r="C28" s="3" t="s">
        <v>754</v>
      </c>
      <c r="D28" s="11" t="s">
        <v>752</v>
      </c>
      <c r="E28" s="11" t="s">
        <v>753</v>
      </c>
      <c r="F28" s="11" t="s">
        <v>169</v>
      </c>
      <c r="G28" s="1" t="s">
        <v>44</v>
      </c>
      <c r="H28" s="6" t="str">
        <f>HYPERLINK("https://www.bioscidb.com/browse/deal_bg/10505","Deal")</f>
        <v>Deal</v>
      </c>
      <c r="I28" s="4" t="s">
        <v>40</v>
      </c>
      <c r="J28" s="4">
        <v>24.76</v>
      </c>
      <c r="K28" s="4">
        <v>4</v>
      </c>
      <c r="L28" s="4" t="s">
        <v>40</v>
      </c>
      <c r="M28" s="4">
        <v>4</v>
      </c>
      <c r="N28" s="11" t="s">
        <v>99</v>
      </c>
      <c r="O28" s="1" t="s">
        <v>45</v>
      </c>
      <c r="P28" s="11" t="s">
        <v>755</v>
      </c>
      <c r="Q28" s="1" t="s">
        <v>42</v>
      </c>
      <c r="R28" s="11" t="s">
        <v>68</v>
      </c>
      <c r="S28" s="11" t="s">
        <v>101</v>
      </c>
      <c r="T28" s="11" t="s">
        <v>756</v>
      </c>
      <c r="U28" s="1" t="s">
        <v>113</v>
      </c>
      <c r="V28" s="1" t="s">
        <v>114</v>
      </c>
      <c r="W28" s="4" t="s">
        <v>40</v>
      </c>
      <c r="X28" s="4" t="s">
        <v>40</v>
      </c>
      <c r="Y28" s="4" t="s">
        <v>40</v>
      </c>
      <c r="Z28" s="4">
        <v>0.33</v>
      </c>
      <c r="AA28" s="4" t="s">
        <v>40</v>
      </c>
      <c r="AB28" s="4">
        <v>16.5</v>
      </c>
      <c r="AC28" s="4">
        <v>8.13</v>
      </c>
      <c r="AD28" s="4">
        <v>24.63</v>
      </c>
      <c r="AE28" s="4" t="s">
        <v>40</v>
      </c>
      <c r="AF28" s="4">
        <v>4</v>
      </c>
      <c r="AG28" s="4">
        <v>4</v>
      </c>
      <c r="AH28" s="4">
        <v>4</v>
      </c>
      <c r="AI28" s="4" t="s">
        <v>40</v>
      </c>
      <c r="AJ28" s="4" t="s">
        <v>40</v>
      </c>
      <c r="AK28" s="4" t="s">
        <v>40</v>
      </c>
      <c r="AL28" s="4" t="s">
        <v>40</v>
      </c>
      <c r="AM28" s="1" t="s">
        <v>40</v>
      </c>
    </row>
    <row r="29" spans="1:39" ht="25.5">
      <c r="A29" s="6" t="str">
        <f>HYPERLINK("https://www.bioscidb.com/tag/gettag/948e5d03-8e12-4fcf-b9c9-7c3ae883a845","Tag")</f>
        <v>Tag</v>
      </c>
      <c r="B29" s="11" t="s">
        <v>842</v>
      </c>
      <c r="C29" s="3" t="s">
        <v>367</v>
      </c>
      <c r="D29" s="11" t="s">
        <v>366</v>
      </c>
      <c r="E29" s="11" t="s">
        <v>238</v>
      </c>
      <c r="F29" s="11" t="s">
        <v>85</v>
      </c>
      <c r="G29" s="1" t="s">
        <v>44</v>
      </c>
      <c r="H29" s="6" t="str">
        <f>HYPERLINK("https://www.bioscidb.com/browse/deal_bg/8846","Deal")</f>
        <v>Deal</v>
      </c>
      <c r="I29" s="4">
        <v>4</v>
      </c>
      <c r="J29" s="4">
        <v>183</v>
      </c>
      <c r="K29" s="4" t="s">
        <v>40</v>
      </c>
      <c r="L29" s="4" t="s">
        <v>40</v>
      </c>
      <c r="M29" s="4">
        <v>5</v>
      </c>
      <c r="N29" s="11" t="s">
        <v>43</v>
      </c>
      <c r="O29" s="1" t="s">
        <v>45</v>
      </c>
      <c r="P29" s="11" t="s">
        <v>368</v>
      </c>
      <c r="Q29" s="1" t="s">
        <v>42</v>
      </c>
      <c r="R29" s="11" t="s">
        <v>68</v>
      </c>
      <c r="S29" s="11" t="s">
        <v>111</v>
      </c>
      <c r="T29" s="11" t="s">
        <v>369</v>
      </c>
      <c r="U29" s="1" t="s">
        <v>113</v>
      </c>
      <c r="V29" s="1" t="s">
        <v>370</v>
      </c>
      <c r="W29" s="4" t="s">
        <v>40</v>
      </c>
      <c r="X29" s="4" t="s">
        <v>40</v>
      </c>
      <c r="Y29" s="4" t="s">
        <v>40</v>
      </c>
      <c r="Z29" s="4" t="s">
        <v>40</v>
      </c>
      <c r="AA29" s="4" t="s">
        <v>40</v>
      </c>
      <c r="AB29" s="4">
        <v>49</v>
      </c>
      <c r="AC29" s="4" t="s">
        <v>40</v>
      </c>
      <c r="AD29" s="4">
        <v>53</v>
      </c>
      <c r="AE29" s="4">
        <v>130</v>
      </c>
      <c r="AF29" s="4">
        <v>3</v>
      </c>
      <c r="AG29" s="4">
        <v>3</v>
      </c>
      <c r="AH29" s="4">
        <v>4</v>
      </c>
      <c r="AI29" s="4" t="s">
        <v>40</v>
      </c>
      <c r="AJ29" s="4" t="s">
        <v>40</v>
      </c>
      <c r="AK29" s="4" t="s">
        <v>40</v>
      </c>
      <c r="AL29" s="4" t="s">
        <v>40</v>
      </c>
      <c r="AM29" s="1" t="s">
        <v>40</v>
      </c>
    </row>
    <row r="30" spans="1:39" ht="27" customHeight="1">
      <c r="A30" s="6" t="str">
        <f>HYPERLINK("https://www.bioscidb.com/tag/gettag/564be170-0aa7-4c01-b1fc-53d28197fb28","Tag")</f>
        <v>Tag</v>
      </c>
      <c r="B30" s="15" t="s">
        <v>843</v>
      </c>
      <c r="C30" s="3" t="s">
        <v>618</v>
      </c>
      <c r="D30" s="11" t="s">
        <v>616</v>
      </c>
      <c r="E30" s="11" t="s">
        <v>617</v>
      </c>
      <c r="F30" s="11" t="s">
        <v>52</v>
      </c>
      <c r="G30" s="1" t="s">
        <v>44</v>
      </c>
      <c r="H30" s="6" t="str">
        <f>HYPERLINK("https://www.bioscidb.com/browse/deal_bg/10988","Deal")</f>
        <v>Deal</v>
      </c>
      <c r="I30" s="4">
        <v>0.75</v>
      </c>
      <c r="J30" s="4">
        <v>5.25</v>
      </c>
      <c r="K30" s="4">
        <v>1</v>
      </c>
      <c r="L30" s="4" t="s">
        <v>40</v>
      </c>
      <c r="M30" s="4">
        <v>1</v>
      </c>
      <c r="N30" s="11" t="s">
        <v>620</v>
      </c>
      <c r="O30" s="1" t="s">
        <v>45</v>
      </c>
      <c r="P30" s="11" t="s">
        <v>619</v>
      </c>
      <c r="Q30" s="1" t="s">
        <v>42</v>
      </c>
      <c r="R30" s="11" t="s">
        <v>53</v>
      </c>
      <c r="S30" s="11" t="s">
        <v>73</v>
      </c>
      <c r="T30" s="11" t="s">
        <v>74</v>
      </c>
      <c r="U30" s="1" t="s">
        <v>40</v>
      </c>
      <c r="V30" s="1" t="s">
        <v>40</v>
      </c>
      <c r="W30" s="4" t="s">
        <v>40</v>
      </c>
      <c r="X30" s="4" t="s">
        <v>40</v>
      </c>
      <c r="Y30" s="4">
        <v>1.5</v>
      </c>
      <c r="Z30" s="4" t="s">
        <v>40</v>
      </c>
      <c r="AA30" s="4" t="s">
        <v>40</v>
      </c>
      <c r="AB30" s="4">
        <v>2</v>
      </c>
      <c r="AC30" s="4" t="s">
        <v>40</v>
      </c>
      <c r="AD30" s="4">
        <v>4.25</v>
      </c>
      <c r="AE30" s="4">
        <v>1</v>
      </c>
      <c r="AF30" s="4">
        <v>1</v>
      </c>
      <c r="AG30" s="4">
        <v>1</v>
      </c>
      <c r="AH30" s="4">
        <v>1</v>
      </c>
      <c r="AI30" s="4" t="s">
        <v>40</v>
      </c>
      <c r="AJ30" s="4" t="s">
        <v>40</v>
      </c>
      <c r="AK30" s="4" t="s">
        <v>40</v>
      </c>
      <c r="AL30" s="4" t="s">
        <v>40</v>
      </c>
      <c r="AM30" s="1" t="s">
        <v>621</v>
      </c>
    </row>
    <row r="31" spans="1:39" ht="25.5">
      <c r="A31" s="6" t="str">
        <f>HYPERLINK("https://www.bioscidb.com/tag/gettag/5aeed8b6-0754-43cd-bf80-d2b1725c2824","Tag")</f>
        <v>Tag</v>
      </c>
      <c r="B31" s="15" t="s">
        <v>827</v>
      </c>
      <c r="C31" s="3" t="s">
        <v>737</v>
      </c>
      <c r="D31" s="11" t="s">
        <v>735</v>
      </c>
      <c r="E31" s="11" t="s">
        <v>736</v>
      </c>
      <c r="F31" s="11" t="s">
        <v>271</v>
      </c>
      <c r="G31" s="1" t="s">
        <v>44</v>
      </c>
      <c r="H31" s="6" t="str">
        <f>HYPERLINK("https://www.bioscidb.com/browse/deal_bg/4580","Deal")</f>
        <v>Deal</v>
      </c>
      <c r="I31" s="4">
        <v>0.22</v>
      </c>
      <c r="J31" s="4">
        <v>4.34</v>
      </c>
      <c r="K31" s="4">
        <v>4</v>
      </c>
      <c r="L31" s="4" t="s">
        <v>40</v>
      </c>
      <c r="M31" s="4">
        <v>4</v>
      </c>
      <c r="N31" s="11" t="s">
        <v>43</v>
      </c>
      <c r="O31" s="1" t="s">
        <v>132</v>
      </c>
      <c r="P31" s="11" t="s">
        <v>738</v>
      </c>
      <c r="Q31" s="1" t="s">
        <v>42</v>
      </c>
      <c r="R31" s="11" t="s">
        <v>68</v>
      </c>
      <c r="S31" s="11" t="s">
        <v>607</v>
      </c>
      <c r="T31" s="11" t="s">
        <v>739</v>
      </c>
      <c r="U31" s="1" t="s">
        <v>48</v>
      </c>
      <c r="V31" s="1" t="s">
        <v>49</v>
      </c>
      <c r="W31" s="4" t="s">
        <v>40</v>
      </c>
      <c r="X31" s="4" t="s">
        <v>40</v>
      </c>
      <c r="Y31" s="4" t="s">
        <v>40</v>
      </c>
      <c r="Z31" s="4" t="s">
        <v>40</v>
      </c>
      <c r="AA31" s="4" t="s">
        <v>40</v>
      </c>
      <c r="AB31" s="4">
        <v>0.88</v>
      </c>
      <c r="AC31" s="4">
        <v>0.25</v>
      </c>
      <c r="AD31" s="4">
        <v>1.34</v>
      </c>
      <c r="AE31" s="4">
        <v>3</v>
      </c>
      <c r="AF31" s="4">
        <v>2</v>
      </c>
      <c r="AG31" s="4">
        <v>2</v>
      </c>
      <c r="AH31" s="4">
        <v>3</v>
      </c>
      <c r="AI31" s="4" t="s">
        <v>40</v>
      </c>
      <c r="AJ31" s="4" t="s">
        <v>40</v>
      </c>
      <c r="AK31" s="4" t="s">
        <v>40</v>
      </c>
      <c r="AL31" s="4" t="s">
        <v>40</v>
      </c>
      <c r="AM31" s="1" t="s">
        <v>40</v>
      </c>
    </row>
    <row r="32" spans="1:39" ht="38.25">
      <c r="A32" s="6" t="str">
        <f>HYPERLINK("https://www.bioscidb.com/tag/gettag/cd5b6339-8ac5-41dd-8a16-154125fce8da","Tag")</f>
        <v>Tag</v>
      </c>
      <c r="B32" s="11" t="s">
        <v>844</v>
      </c>
      <c r="C32" s="3" t="s">
        <v>173</v>
      </c>
      <c r="D32" s="11" t="s">
        <v>171</v>
      </c>
      <c r="E32" s="11" t="s">
        <v>172</v>
      </c>
      <c r="F32" s="11" t="s">
        <v>85</v>
      </c>
      <c r="G32" s="1" t="s">
        <v>44</v>
      </c>
      <c r="H32" s="6" t="str">
        <f>HYPERLINK("https://www.bioscidb.com/browse/deal_bg/2180","Deal")</f>
        <v>Deal</v>
      </c>
      <c r="I32" s="4">
        <v>1.25</v>
      </c>
      <c r="J32" s="4">
        <v>198</v>
      </c>
      <c r="K32" s="4">
        <v>11</v>
      </c>
      <c r="L32" s="4" t="s">
        <v>40</v>
      </c>
      <c r="M32" s="4">
        <v>11</v>
      </c>
      <c r="N32" s="11" t="s">
        <v>175</v>
      </c>
      <c r="O32" s="1" t="s">
        <v>132</v>
      </c>
      <c r="P32" s="11" t="s">
        <v>174</v>
      </c>
      <c r="Q32" s="1" t="s">
        <v>42</v>
      </c>
      <c r="R32" s="11" t="s">
        <v>68</v>
      </c>
      <c r="S32" s="11" t="s">
        <v>176</v>
      </c>
      <c r="T32" s="11" t="s">
        <v>177</v>
      </c>
      <c r="U32" s="1" t="s">
        <v>48</v>
      </c>
      <c r="V32" s="1" t="s">
        <v>49</v>
      </c>
      <c r="W32" s="4" t="s">
        <v>40</v>
      </c>
      <c r="X32" s="4" t="s">
        <v>40</v>
      </c>
      <c r="Y32" s="4" t="s">
        <v>40</v>
      </c>
      <c r="Z32" s="4">
        <v>0.25</v>
      </c>
      <c r="AA32" s="4" t="s">
        <v>40</v>
      </c>
      <c r="AB32" s="4">
        <v>196.75</v>
      </c>
      <c r="AC32" s="4" t="s">
        <v>40</v>
      </c>
      <c r="AD32" s="4">
        <v>198</v>
      </c>
      <c r="AE32" s="4" t="s">
        <v>40</v>
      </c>
      <c r="AF32" s="4">
        <v>6</v>
      </c>
      <c r="AG32" s="4">
        <v>7.000000000000001</v>
      </c>
      <c r="AH32" s="4">
        <v>9</v>
      </c>
      <c r="AI32" s="4" t="s">
        <v>40</v>
      </c>
      <c r="AJ32" s="4" t="s">
        <v>40</v>
      </c>
      <c r="AK32" s="4" t="s">
        <v>40</v>
      </c>
      <c r="AL32" s="4" t="s">
        <v>40</v>
      </c>
      <c r="AM32" s="1" t="s">
        <v>178</v>
      </c>
    </row>
    <row r="33" spans="1:39" ht="38.25">
      <c r="A33" s="6" t="str">
        <f>HYPERLINK("https://www.bioscidb.com/tag/gettag/223c5b85-7ab4-4e88-a13d-ebfa7cea50e9","Tag")</f>
        <v>Tag</v>
      </c>
      <c r="B33" s="15" t="s">
        <v>827</v>
      </c>
      <c r="C33" s="3" t="s">
        <v>624</v>
      </c>
      <c r="D33" s="11" t="s">
        <v>622</v>
      </c>
      <c r="E33" s="11" t="s">
        <v>623</v>
      </c>
      <c r="F33" s="11" t="s">
        <v>40</v>
      </c>
      <c r="G33" s="1" t="s">
        <v>44</v>
      </c>
      <c r="H33" s="6" t="str">
        <f>HYPERLINK("https://www.bioscidb.com/browse/deal_bg/17397","Deal")</f>
        <v>Deal</v>
      </c>
      <c r="I33" s="4">
        <v>0.1</v>
      </c>
      <c r="J33" s="4">
        <v>13.9</v>
      </c>
      <c r="K33" s="4">
        <v>6</v>
      </c>
      <c r="L33" s="4" t="s">
        <v>40</v>
      </c>
      <c r="M33" s="4">
        <v>6</v>
      </c>
      <c r="N33" s="11" t="s">
        <v>43</v>
      </c>
      <c r="O33" s="1" t="s">
        <v>599</v>
      </c>
      <c r="P33" s="11" t="s">
        <v>625</v>
      </c>
      <c r="Q33" s="1" t="s">
        <v>42</v>
      </c>
      <c r="R33" s="11" t="s">
        <v>68</v>
      </c>
      <c r="S33" s="11" t="s">
        <v>626</v>
      </c>
      <c r="T33" s="11" t="s">
        <v>627</v>
      </c>
      <c r="U33" s="1" t="s">
        <v>63</v>
      </c>
      <c r="V33" s="1" t="s">
        <v>628</v>
      </c>
      <c r="W33" s="4" t="s">
        <v>40</v>
      </c>
      <c r="X33" s="4" t="s">
        <v>40</v>
      </c>
      <c r="Y33" s="4" t="s">
        <v>40</v>
      </c>
      <c r="Z33" s="4" t="s">
        <v>40</v>
      </c>
      <c r="AA33" s="4" t="s">
        <v>40</v>
      </c>
      <c r="AB33" s="4">
        <v>6.85</v>
      </c>
      <c r="AC33" s="4">
        <v>6.95</v>
      </c>
      <c r="AD33" s="4">
        <v>13.9</v>
      </c>
      <c r="AE33" s="4" t="s">
        <v>40</v>
      </c>
      <c r="AF33" s="4">
        <v>5</v>
      </c>
      <c r="AG33" s="4">
        <v>6</v>
      </c>
      <c r="AH33" s="4">
        <v>6</v>
      </c>
      <c r="AI33" s="4" t="s">
        <v>40</v>
      </c>
      <c r="AJ33" s="4" t="s">
        <v>40</v>
      </c>
      <c r="AK33" s="4" t="s">
        <v>40</v>
      </c>
      <c r="AL33" s="4" t="s">
        <v>40</v>
      </c>
      <c r="AM33" s="1" t="s">
        <v>629</v>
      </c>
    </row>
    <row r="34" spans="1:39" ht="27" customHeight="1">
      <c r="A34" s="6" t="str">
        <f>HYPERLINK("https://www.bioscidb.com/tag/gettag/4d31b6f6-8417-4a7a-b81a-78886d8c00fb","Tag")</f>
        <v>Tag</v>
      </c>
      <c r="B34" s="11" t="s">
        <v>845</v>
      </c>
      <c r="C34" s="3" t="s">
        <v>494</v>
      </c>
      <c r="D34" s="11" t="s">
        <v>492</v>
      </c>
      <c r="E34" s="11" t="s">
        <v>493</v>
      </c>
      <c r="F34" s="11" t="s">
        <v>85</v>
      </c>
      <c r="G34" s="1" t="s">
        <v>44</v>
      </c>
      <c r="H34" s="6" t="str">
        <f>HYPERLINK("https://www.bioscidb.com/browse/deal_bg/1057","Deal")</f>
        <v>Deal</v>
      </c>
      <c r="I34" s="4">
        <v>5</v>
      </c>
      <c r="J34" s="4">
        <v>225</v>
      </c>
      <c r="K34" s="4">
        <v>18</v>
      </c>
      <c r="L34" s="4" t="s">
        <v>40</v>
      </c>
      <c r="M34" s="4">
        <v>18</v>
      </c>
      <c r="N34" s="11" t="s">
        <v>496</v>
      </c>
      <c r="O34" s="1" t="s">
        <v>293</v>
      </c>
      <c r="P34" s="11" t="s">
        <v>495</v>
      </c>
      <c r="Q34" s="1" t="s">
        <v>42</v>
      </c>
      <c r="R34" s="11" t="s">
        <v>53</v>
      </c>
      <c r="S34" s="11" t="s">
        <v>146</v>
      </c>
      <c r="T34" s="11" t="s">
        <v>294</v>
      </c>
      <c r="U34" s="1" t="s">
        <v>497</v>
      </c>
      <c r="V34" s="1" t="s">
        <v>40</v>
      </c>
      <c r="W34" s="4" t="s">
        <v>40</v>
      </c>
      <c r="X34" s="4" t="s">
        <v>40</v>
      </c>
      <c r="Y34" s="4" t="s">
        <v>40</v>
      </c>
      <c r="Z34" s="4">
        <v>0.3</v>
      </c>
      <c r="AA34" s="4" t="s">
        <v>40</v>
      </c>
      <c r="AB34" s="4">
        <v>95</v>
      </c>
      <c r="AC34" s="4">
        <v>40</v>
      </c>
      <c r="AD34" s="4">
        <v>140</v>
      </c>
      <c r="AE34" s="4">
        <v>85</v>
      </c>
      <c r="AF34" s="4">
        <v>8</v>
      </c>
      <c r="AG34" s="4">
        <v>8</v>
      </c>
      <c r="AH34" s="4">
        <v>9</v>
      </c>
      <c r="AI34" s="4" t="s">
        <v>40</v>
      </c>
      <c r="AJ34" s="4" t="s">
        <v>40</v>
      </c>
      <c r="AK34" s="4" t="s">
        <v>40</v>
      </c>
      <c r="AL34" s="4" t="s">
        <v>40</v>
      </c>
      <c r="AM34" s="1" t="s">
        <v>498</v>
      </c>
    </row>
    <row r="35" spans="1:39" ht="51">
      <c r="A35" s="6" t="str">
        <f>HYPERLINK("https://www.bioscidb.com/tag/gettag/a0fa1048-ed4b-4101-b975-69b42227f1a9","Tag")</f>
        <v>Tag</v>
      </c>
      <c r="B35" s="11" t="s">
        <v>846</v>
      </c>
      <c r="C35" s="3" t="s">
        <v>179</v>
      </c>
      <c r="D35" s="11" t="s">
        <v>171</v>
      </c>
      <c r="E35" s="11" t="s">
        <v>106</v>
      </c>
      <c r="F35" s="11" t="s">
        <v>85</v>
      </c>
      <c r="G35" s="1" t="s">
        <v>44</v>
      </c>
      <c r="H35" s="6" t="str">
        <f>HYPERLINK("https://www.bioscidb.com/browse/deal_bg/1935","Deal")</f>
        <v>Deal</v>
      </c>
      <c r="I35" s="4">
        <v>35</v>
      </c>
      <c r="J35" s="4">
        <v>860</v>
      </c>
      <c r="K35" s="4">
        <v>20</v>
      </c>
      <c r="L35" s="4" t="s">
        <v>40</v>
      </c>
      <c r="M35" s="4">
        <v>20</v>
      </c>
      <c r="N35" s="11" t="s">
        <v>181</v>
      </c>
      <c r="O35" s="1" t="s">
        <v>155</v>
      </c>
      <c r="P35" s="11" t="s">
        <v>180</v>
      </c>
      <c r="Q35" s="1" t="s">
        <v>42</v>
      </c>
      <c r="R35" s="11" t="s">
        <v>68</v>
      </c>
      <c r="S35" s="11" t="s">
        <v>182</v>
      </c>
      <c r="T35" s="11" t="s">
        <v>183</v>
      </c>
      <c r="U35" s="1" t="s">
        <v>48</v>
      </c>
      <c r="V35" s="1" t="s">
        <v>49</v>
      </c>
      <c r="W35" s="4" t="s">
        <v>40</v>
      </c>
      <c r="X35" s="4" t="s">
        <v>40</v>
      </c>
      <c r="Y35" s="4" t="s">
        <v>40</v>
      </c>
      <c r="Z35" s="4">
        <v>0.25</v>
      </c>
      <c r="AA35" s="4" t="s">
        <v>40</v>
      </c>
      <c r="AB35" s="4">
        <v>215</v>
      </c>
      <c r="AC35" s="4">
        <v>250</v>
      </c>
      <c r="AD35" s="4">
        <v>500</v>
      </c>
      <c r="AE35" s="4">
        <v>360</v>
      </c>
      <c r="AF35" s="4">
        <v>9</v>
      </c>
      <c r="AG35" s="4">
        <v>9</v>
      </c>
      <c r="AH35" s="4">
        <v>11</v>
      </c>
      <c r="AI35" s="4" t="s">
        <v>40</v>
      </c>
      <c r="AJ35" s="4" t="s">
        <v>40</v>
      </c>
      <c r="AK35" s="4" t="s">
        <v>40</v>
      </c>
      <c r="AL35" s="4" t="s">
        <v>40</v>
      </c>
      <c r="AM35" s="1" t="s">
        <v>184</v>
      </c>
    </row>
    <row r="36" spans="1:39" ht="25.5">
      <c r="A36" s="6" t="str">
        <f>HYPERLINK("https://www.bioscidb.com/tag/gettag/52bd1a97-487b-4d84-bbe6-a6458c2aa600","Tag")</f>
        <v>Tag</v>
      </c>
      <c r="B36" s="11" t="s">
        <v>847</v>
      </c>
      <c r="C36" s="3" t="s">
        <v>742</v>
      </c>
      <c r="D36" s="11" t="s">
        <v>740</v>
      </c>
      <c r="E36" s="11" t="s">
        <v>741</v>
      </c>
      <c r="F36" s="11" t="s">
        <v>169</v>
      </c>
      <c r="G36" s="1" t="s">
        <v>44</v>
      </c>
      <c r="H36" s="6" t="str">
        <f>HYPERLINK("https://www.bioscidb.com/browse/deal_bg/8483","Deal")</f>
        <v>Deal</v>
      </c>
      <c r="I36" s="4">
        <v>0.14</v>
      </c>
      <c r="J36" s="4">
        <v>0.25</v>
      </c>
      <c r="K36" s="4">
        <v>3</v>
      </c>
      <c r="L36" s="4" t="s">
        <v>40</v>
      </c>
      <c r="M36" s="4">
        <v>3</v>
      </c>
      <c r="N36" s="11" t="s">
        <v>43</v>
      </c>
      <c r="O36" s="1" t="s">
        <v>686</v>
      </c>
      <c r="P36" s="11" t="s">
        <v>743</v>
      </c>
      <c r="Q36" s="1" t="s">
        <v>42</v>
      </c>
      <c r="R36" s="11" t="s">
        <v>68</v>
      </c>
      <c r="S36" s="11" t="s">
        <v>534</v>
      </c>
      <c r="T36" s="11" t="s">
        <v>676</v>
      </c>
      <c r="U36" s="1" t="s">
        <v>63</v>
      </c>
      <c r="V36" s="1" t="s">
        <v>462</v>
      </c>
      <c r="W36" s="4" t="s">
        <v>40</v>
      </c>
      <c r="X36" s="4" t="s">
        <v>40</v>
      </c>
      <c r="Y36" s="4" t="s">
        <v>40</v>
      </c>
      <c r="Z36" s="4" t="s">
        <v>40</v>
      </c>
      <c r="AA36" s="4" t="s">
        <v>40</v>
      </c>
      <c r="AB36" s="4">
        <v>0.11</v>
      </c>
      <c r="AC36" s="4" t="s">
        <v>40</v>
      </c>
      <c r="AD36" s="4">
        <v>0.25</v>
      </c>
      <c r="AE36" s="4" t="s">
        <v>40</v>
      </c>
      <c r="AF36" s="4">
        <v>3</v>
      </c>
      <c r="AG36" s="4">
        <v>3</v>
      </c>
      <c r="AH36" s="4">
        <v>3</v>
      </c>
      <c r="AI36" s="4" t="s">
        <v>40</v>
      </c>
      <c r="AJ36" s="4" t="s">
        <v>40</v>
      </c>
      <c r="AK36" s="4" t="s">
        <v>40</v>
      </c>
      <c r="AL36" s="4" t="s">
        <v>40</v>
      </c>
      <c r="AM36" s="1" t="s">
        <v>40</v>
      </c>
    </row>
    <row r="37" spans="1:39" ht="25.5">
      <c r="A37" s="6" t="str">
        <f>HYPERLINK("https://www.bioscidb.com/tag/gettag/c0e67177-e28f-4e3a-8a48-12ad6b6117b3","Tag")</f>
        <v>Tag</v>
      </c>
      <c r="B37" s="15" t="s">
        <v>827</v>
      </c>
      <c r="C37" s="3" t="s">
        <v>500</v>
      </c>
      <c r="D37" s="11" t="s">
        <v>499</v>
      </c>
      <c r="E37" s="11" t="s">
        <v>75</v>
      </c>
      <c r="F37" s="11" t="s">
        <v>85</v>
      </c>
      <c r="G37" s="1" t="s">
        <v>44</v>
      </c>
      <c r="H37" s="6" t="str">
        <f>HYPERLINK("https://www.bioscidb.com/browse/deal_bg/2334","Deal")</f>
        <v>Deal</v>
      </c>
      <c r="I37" s="4">
        <v>120</v>
      </c>
      <c r="J37" s="4">
        <v>1001.5</v>
      </c>
      <c r="K37" s="4">
        <v>50</v>
      </c>
      <c r="L37" s="4" t="s">
        <v>40</v>
      </c>
      <c r="M37" s="4">
        <v>20</v>
      </c>
      <c r="N37" s="11" t="s">
        <v>502</v>
      </c>
      <c r="O37" s="1" t="s">
        <v>427</v>
      </c>
      <c r="P37" s="11" t="s">
        <v>501</v>
      </c>
      <c r="Q37" s="1" t="s">
        <v>42</v>
      </c>
      <c r="R37" s="11" t="s">
        <v>68</v>
      </c>
      <c r="S37" s="11" t="s">
        <v>111</v>
      </c>
      <c r="T37" s="11" t="s">
        <v>503</v>
      </c>
      <c r="U37" s="1" t="s">
        <v>48</v>
      </c>
      <c r="V37" s="1" t="s">
        <v>49</v>
      </c>
      <c r="W37" s="4" t="s">
        <v>40</v>
      </c>
      <c r="X37" s="4" t="s">
        <v>40</v>
      </c>
      <c r="Y37" s="4" t="s">
        <v>40</v>
      </c>
      <c r="Z37" s="4">
        <v>0.25</v>
      </c>
      <c r="AA37" s="4" t="s">
        <v>40</v>
      </c>
      <c r="AB37" s="4">
        <v>47.5</v>
      </c>
      <c r="AC37" s="4">
        <v>334</v>
      </c>
      <c r="AD37" s="4">
        <v>501.5</v>
      </c>
      <c r="AE37" s="4">
        <v>500</v>
      </c>
      <c r="AF37" s="4">
        <v>14.000000000000002</v>
      </c>
      <c r="AG37" s="4">
        <v>14.000000000000002</v>
      </c>
      <c r="AH37" s="4">
        <v>15</v>
      </c>
      <c r="AI37" s="4" t="s">
        <v>40</v>
      </c>
      <c r="AJ37" s="4" t="s">
        <v>40</v>
      </c>
      <c r="AK37" s="4" t="s">
        <v>40</v>
      </c>
      <c r="AL37" s="4">
        <v>50</v>
      </c>
      <c r="AM37" s="1" t="s">
        <v>504</v>
      </c>
    </row>
    <row r="38" spans="1:39" ht="25.5">
      <c r="A38" s="6" t="str">
        <f>HYPERLINK("https://www.bioscidb.com/tag/gettag/ea4c6bfa-67e8-452e-9c12-3b398405a742","Tag")</f>
        <v>Tag</v>
      </c>
      <c r="B38" s="15" t="s">
        <v>827</v>
      </c>
      <c r="C38" s="3" t="s">
        <v>508</v>
      </c>
      <c r="D38" s="11" t="s">
        <v>506</v>
      </c>
      <c r="E38" s="11" t="s">
        <v>507</v>
      </c>
      <c r="F38" s="11" t="s">
        <v>52</v>
      </c>
      <c r="G38" s="1" t="s">
        <v>44</v>
      </c>
      <c r="H38" s="6" t="str">
        <f>HYPERLINK("https://www.bioscidb.com/browse/deal_bg/8311","Deal")</f>
        <v>Deal</v>
      </c>
      <c r="I38" s="4" t="s">
        <v>40</v>
      </c>
      <c r="J38" s="4">
        <v>6.5</v>
      </c>
      <c r="K38" s="4">
        <v>2</v>
      </c>
      <c r="L38" s="4" t="s">
        <v>40</v>
      </c>
      <c r="M38" s="4">
        <v>2</v>
      </c>
      <c r="N38" s="11" t="s">
        <v>510</v>
      </c>
      <c r="O38" s="1" t="s">
        <v>132</v>
      </c>
      <c r="P38" s="11" t="s">
        <v>509</v>
      </c>
      <c r="Q38" s="1" t="s">
        <v>42</v>
      </c>
      <c r="R38" s="11" t="s">
        <v>68</v>
      </c>
      <c r="S38" s="11" t="s">
        <v>111</v>
      </c>
      <c r="T38" s="11" t="s">
        <v>133</v>
      </c>
      <c r="U38" s="1" t="s">
        <v>48</v>
      </c>
      <c r="V38" s="1" t="s">
        <v>49</v>
      </c>
      <c r="W38" s="4" t="s">
        <v>40</v>
      </c>
      <c r="X38" s="4" t="s">
        <v>40</v>
      </c>
      <c r="Y38" s="4" t="s">
        <v>40</v>
      </c>
      <c r="Z38" s="4" t="s">
        <v>40</v>
      </c>
      <c r="AA38" s="4" t="s">
        <v>40</v>
      </c>
      <c r="AB38" s="4">
        <v>6.5</v>
      </c>
      <c r="AC38" s="4" t="s">
        <v>40</v>
      </c>
      <c r="AD38" s="4">
        <v>6.5</v>
      </c>
      <c r="AE38" s="4" t="s">
        <v>40</v>
      </c>
      <c r="AF38" s="4">
        <v>2</v>
      </c>
      <c r="AG38" s="4">
        <v>2</v>
      </c>
      <c r="AH38" s="4">
        <v>2</v>
      </c>
      <c r="AI38" s="4" t="s">
        <v>40</v>
      </c>
      <c r="AJ38" s="4" t="s">
        <v>40</v>
      </c>
      <c r="AK38" s="4" t="s">
        <v>40</v>
      </c>
      <c r="AL38" s="4" t="s">
        <v>40</v>
      </c>
      <c r="AM38" s="1" t="s">
        <v>511</v>
      </c>
    </row>
    <row r="39" spans="1:39" ht="25.5">
      <c r="A39" s="6" t="str">
        <f>HYPERLINK("https://www.bioscidb.com/tag/gettag/035d8f39-6748-490a-b17e-0524252826ce","Tag")</f>
        <v>Tag</v>
      </c>
      <c r="B39" s="15" t="s">
        <v>827</v>
      </c>
      <c r="C39" s="3" t="s">
        <v>508</v>
      </c>
      <c r="D39" s="11" t="s">
        <v>744</v>
      </c>
      <c r="E39" s="11" t="s">
        <v>507</v>
      </c>
      <c r="F39" s="11" t="s">
        <v>52</v>
      </c>
      <c r="G39" s="1" t="s">
        <v>44</v>
      </c>
      <c r="H39" s="6" t="str">
        <f>HYPERLINK("https://www.bioscidb.com/browse/deal_bg/9821","Deal")</f>
        <v>Deal</v>
      </c>
      <c r="I39" s="4">
        <v>0.02</v>
      </c>
      <c r="J39" s="4">
        <v>3.2</v>
      </c>
      <c r="K39" s="4">
        <v>1</v>
      </c>
      <c r="L39" s="4" t="s">
        <v>40</v>
      </c>
      <c r="M39" s="4">
        <v>1</v>
      </c>
      <c r="N39" s="11" t="s">
        <v>227</v>
      </c>
      <c r="O39" s="1" t="s">
        <v>746</v>
      </c>
      <c r="P39" s="11" t="s">
        <v>745</v>
      </c>
      <c r="Q39" s="1" t="s">
        <v>42</v>
      </c>
      <c r="R39" s="11" t="s">
        <v>68</v>
      </c>
      <c r="S39" s="11" t="s">
        <v>111</v>
      </c>
      <c r="T39" s="11" t="s">
        <v>112</v>
      </c>
      <c r="U39" s="1" t="s">
        <v>40</v>
      </c>
      <c r="V39" s="1" t="s">
        <v>40</v>
      </c>
      <c r="W39" s="4" t="s">
        <v>40</v>
      </c>
      <c r="X39" s="4" t="s">
        <v>40</v>
      </c>
      <c r="Y39" s="4" t="s">
        <v>40</v>
      </c>
      <c r="Z39" s="4" t="s">
        <v>40</v>
      </c>
      <c r="AA39" s="4" t="s">
        <v>40</v>
      </c>
      <c r="AB39" s="4">
        <v>0.85</v>
      </c>
      <c r="AC39" s="4">
        <v>2.33</v>
      </c>
      <c r="AD39" s="4">
        <v>3.2</v>
      </c>
      <c r="AE39" s="4" t="s">
        <v>40</v>
      </c>
      <c r="AF39" s="4">
        <v>1</v>
      </c>
      <c r="AG39" s="4">
        <v>1</v>
      </c>
      <c r="AH39" s="4">
        <v>1</v>
      </c>
      <c r="AI39" s="4" t="s">
        <v>40</v>
      </c>
      <c r="AJ39" s="4" t="s">
        <v>40</v>
      </c>
      <c r="AK39" s="4" t="s">
        <v>40</v>
      </c>
      <c r="AL39" s="4" t="s">
        <v>40</v>
      </c>
      <c r="AM39" s="1" t="s">
        <v>747</v>
      </c>
    </row>
    <row r="40" spans="1:39" ht="25.5">
      <c r="A40" s="6" t="str">
        <f>HYPERLINK("https://www.bioscidb.com/tag/gettag/201a2419-6088-44ef-8d72-076e94270b8e","Tag")</f>
        <v>Tag</v>
      </c>
      <c r="B40" s="15" t="s">
        <v>827</v>
      </c>
      <c r="C40" s="3" t="s">
        <v>757</v>
      </c>
      <c r="D40" s="11" t="s">
        <v>752</v>
      </c>
      <c r="E40" s="11" t="s">
        <v>753</v>
      </c>
      <c r="F40" s="11" t="s">
        <v>169</v>
      </c>
      <c r="G40" s="1" t="s">
        <v>44</v>
      </c>
      <c r="H40" s="6" t="str">
        <f>HYPERLINK("https://www.bioscidb.com/browse/deal_bg/12010","Deal")</f>
        <v>Deal</v>
      </c>
      <c r="I40" s="4">
        <v>0.05</v>
      </c>
      <c r="J40" s="4">
        <v>1.2</v>
      </c>
      <c r="K40" s="4">
        <v>6</v>
      </c>
      <c r="L40" s="4" t="s">
        <v>40</v>
      </c>
      <c r="M40" s="4">
        <v>6</v>
      </c>
      <c r="N40" s="11" t="s">
        <v>99</v>
      </c>
      <c r="O40" s="1" t="s">
        <v>110</v>
      </c>
      <c r="P40" s="11" t="s">
        <v>758</v>
      </c>
      <c r="Q40" s="1" t="s">
        <v>42</v>
      </c>
      <c r="R40" s="11" t="s">
        <v>68</v>
      </c>
      <c r="S40" s="11" t="s">
        <v>73</v>
      </c>
      <c r="T40" s="11" t="s">
        <v>74</v>
      </c>
      <c r="U40" s="1" t="s">
        <v>113</v>
      </c>
      <c r="V40" s="1" t="s">
        <v>114</v>
      </c>
      <c r="W40" s="4" t="s">
        <v>40</v>
      </c>
      <c r="X40" s="4" t="s">
        <v>40</v>
      </c>
      <c r="Y40" s="4">
        <v>1.1</v>
      </c>
      <c r="Z40" s="4">
        <v>0.28</v>
      </c>
      <c r="AA40" s="4" t="s">
        <v>40</v>
      </c>
      <c r="AB40" s="4" t="s">
        <v>40</v>
      </c>
      <c r="AC40" s="4" t="s">
        <v>40</v>
      </c>
      <c r="AD40" s="4">
        <v>1.2</v>
      </c>
      <c r="AE40" s="4" t="s">
        <v>40</v>
      </c>
      <c r="AF40" s="4">
        <v>6</v>
      </c>
      <c r="AG40" s="4">
        <v>6</v>
      </c>
      <c r="AH40" s="4">
        <v>6</v>
      </c>
      <c r="AI40" s="4" t="s">
        <v>40</v>
      </c>
      <c r="AJ40" s="4" t="s">
        <v>40</v>
      </c>
      <c r="AK40" s="4" t="s">
        <v>40</v>
      </c>
      <c r="AL40" s="4" t="s">
        <v>40</v>
      </c>
      <c r="AM40" s="1" t="s">
        <v>759</v>
      </c>
    </row>
    <row r="41" spans="1:39" ht="38.25">
      <c r="A41" s="6" t="str">
        <f>HYPERLINK("https://www.bioscidb.com/tag/gettag/3dc24e69-1676-405f-a216-d879e6605125","Tag")</f>
        <v>Tag</v>
      </c>
      <c r="B41" s="11" t="s">
        <v>848</v>
      </c>
      <c r="C41" s="3" t="s">
        <v>185</v>
      </c>
      <c r="D41" s="11" t="s">
        <v>141</v>
      </c>
      <c r="E41" s="11" t="s">
        <v>106</v>
      </c>
      <c r="F41" s="11" t="s">
        <v>85</v>
      </c>
      <c r="G41" s="1" t="s">
        <v>44</v>
      </c>
      <c r="H41" s="6" t="str">
        <f>HYPERLINK("https://www.bioscidb.com/browse/deal_bg/2121","Deal")</f>
        <v>Deal</v>
      </c>
      <c r="I41" s="4">
        <v>200</v>
      </c>
      <c r="J41" s="4">
        <v>1240</v>
      </c>
      <c r="K41" s="4">
        <v>25</v>
      </c>
      <c r="L41" s="4" t="s">
        <v>40</v>
      </c>
      <c r="M41" s="4">
        <v>25</v>
      </c>
      <c r="N41" s="11" t="s">
        <v>187</v>
      </c>
      <c r="O41" s="1" t="s">
        <v>155</v>
      </c>
      <c r="P41" s="11" t="s">
        <v>186</v>
      </c>
      <c r="Q41" s="1" t="s">
        <v>42</v>
      </c>
      <c r="R41" s="11" t="s">
        <v>68</v>
      </c>
      <c r="S41" s="11" t="s">
        <v>188</v>
      </c>
      <c r="T41" s="11" t="s">
        <v>189</v>
      </c>
      <c r="U41" s="1" t="s">
        <v>48</v>
      </c>
      <c r="V41" s="1" t="s">
        <v>49</v>
      </c>
      <c r="W41" s="4" t="s">
        <v>40</v>
      </c>
      <c r="X41" s="4" t="s">
        <v>40</v>
      </c>
      <c r="Y41" s="4" t="s">
        <v>40</v>
      </c>
      <c r="Z41" s="4">
        <v>0.25</v>
      </c>
      <c r="AA41" s="4" t="s">
        <v>40</v>
      </c>
      <c r="AB41" s="4">
        <v>285</v>
      </c>
      <c r="AC41" s="4">
        <v>255</v>
      </c>
      <c r="AD41" s="4">
        <v>740</v>
      </c>
      <c r="AE41" s="4">
        <v>500</v>
      </c>
      <c r="AF41" s="4">
        <v>20</v>
      </c>
      <c r="AG41" s="4">
        <v>21</v>
      </c>
      <c r="AH41" s="4">
        <v>23</v>
      </c>
      <c r="AI41" s="4" t="s">
        <v>40</v>
      </c>
      <c r="AJ41" s="4" t="s">
        <v>40</v>
      </c>
      <c r="AK41" s="4" t="s">
        <v>40</v>
      </c>
      <c r="AL41" s="4" t="s">
        <v>40</v>
      </c>
      <c r="AM41" s="1" t="s">
        <v>190</v>
      </c>
    </row>
    <row r="42" spans="1:39" ht="25.5">
      <c r="A42" s="6" t="str">
        <f>HYPERLINK("https://www.bioscidb.com/tag/gettag/45ce3e99-ae6d-49ca-a830-dfaeaa3c5782","Tag")</f>
        <v>Tag</v>
      </c>
      <c r="B42" s="15" t="s">
        <v>850</v>
      </c>
      <c r="C42" s="3" t="s">
        <v>185</v>
      </c>
      <c r="D42" s="11" t="s">
        <v>512</v>
      </c>
      <c r="E42" s="11" t="s">
        <v>513</v>
      </c>
      <c r="F42" s="11" t="s">
        <v>255</v>
      </c>
      <c r="G42" s="1" t="s">
        <v>44</v>
      </c>
      <c r="H42" s="6" t="str">
        <f>HYPERLINK("https://www.bioscidb.com/browse/deal_bg/1793","Deal")</f>
        <v>Deal</v>
      </c>
      <c r="I42" s="4">
        <v>40</v>
      </c>
      <c r="J42" s="4">
        <v>355</v>
      </c>
      <c r="K42" s="4">
        <v>50</v>
      </c>
      <c r="L42" s="4" t="s">
        <v>40</v>
      </c>
      <c r="M42" s="4">
        <v>22</v>
      </c>
      <c r="N42" s="11" t="s">
        <v>515</v>
      </c>
      <c r="O42" s="1" t="s">
        <v>155</v>
      </c>
      <c r="P42" s="11" t="s">
        <v>514</v>
      </c>
      <c r="Q42" s="1" t="s">
        <v>42</v>
      </c>
      <c r="R42" s="11" t="s">
        <v>68</v>
      </c>
      <c r="S42" s="11" t="s">
        <v>111</v>
      </c>
      <c r="T42" s="11" t="s">
        <v>516</v>
      </c>
      <c r="U42" s="1" t="s">
        <v>48</v>
      </c>
      <c r="V42" s="1" t="s">
        <v>49</v>
      </c>
      <c r="W42" s="4" t="s">
        <v>40</v>
      </c>
      <c r="X42" s="4" t="s">
        <v>40</v>
      </c>
      <c r="Y42" s="4" t="s">
        <v>40</v>
      </c>
      <c r="Z42" s="4">
        <v>0.29</v>
      </c>
      <c r="AA42" s="4" t="s">
        <v>40</v>
      </c>
      <c r="AB42" s="4">
        <v>140</v>
      </c>
      <c r="AC42" s="4">
        <v>170</v>
      </c>
      <c r="AD42" s="4">
        <v>350</v>
      </c>
      <c r="AE42" s="4">
        <v>5</v>
      </c>
      <c r="AF42" s="4">
        <v>12</v>
      </c>
      <c r="AG42" s="4">
        <v>15</v>
      </c>
      <c r="AH42" s="4">
        <v>19</v>
      </c>
      <c r="AI42" s="4" t="s">
        <v>40</v>
      </c>
      <c r="AJ42" s="4" t="s">
        <v>40</v>
      </c>
      <c r="AK42" s="4" t="s">
        <v>40</v>
      </c>
      <c r="AL42" s="4">
        <v>50</v>
      </c>
      <c r="AM42" s="1" t="s">
        <v>517</v>
      </c>
    </row>
    <row r="43" spans="1:39" ht="25.5">
      <c r="A43" s="6" t="str">
        <f>HYPERLINK("https://www.bioscidb.com/tag/gettag/0f7e0088-8901-48e3-af65-91a3ec776824","Tag")</f>
        <v>Tag</v>
      </c>
      <c r="B43" s="15" t="s">
        <v>851</v>
      </c>
      <c r="C43" s="3" t="s">
        <v>185</v>
      </c>
      <c r="D43" s="11" t="s">
        <v>325</v>
      </c>
      <c r="E43" s="11" t="s">
        <v>326</v>
      </c>
      <c r="F43" s="11" t="s">
        <v>85</v>
      </c>
      <c r="G43" s="1" t="s">
        <v>44</v>
      </c>
      <c r="H43" s="6" t="str">
        <f>HYPERLINK("https://www.bioscidb.com/browse/deal_bg/15838","Deal")</f>
        <v>Deal</v>
      </c>
      <c r="I43" s="4" t="s">
        <v>40</v>
      </c>
      <c r="J43" s="4">
        <v>105</v>
      </c>
      <c r="K43" s="4">
        <v>10</v>
      </c>
      <c r="L43" s="4" t="s">
        <v>40</v>
      </c>
      <c r="M43" s="4">
        <v>10</v>
      </c>
      <c r="N43" s="11" t="s">
        <v>219</v>
      </c>
      <c r="O43" s="1" t="s">
        <v>80</v>
      </c>
      <c r="P43" s="11" t="s">
        <v>630</v>
      </c>
      <c r="Q43" s="1" t="s">
        <v>42</v>
      </c>
      <c r="R43" s="11" t="s">
        <v>68</v>
      </c>
      <c r="S43" s="11" t="s">
        <v>111</v>
      </c>
      <c r="T43" s="11" t="s">
        <v>631</v>
      </c>
      <c r="U43" s="1" t="s">
        <v>166</v>
      </c>
      <c r="V43" s="1" t="s">
        <v>167</v>
      </c>
      <c r="W43" s="4" t="s">
        <v>40</v>
      </c>
      <c r="X43" s="4" t="s">
        <v>40</v>
      </c>
      <c r="Y43" s="4" t="s">
        <v>40</v>
      </c>
      <c r="Z43" s="4" t="s">
        <v>40</v>
      </c>
      <c r="AA43" s="4" t="s">
        <v>40</v>
      </c>
      <c r="AB43" s="4">
        <v>55</v>
      </c>
      <c r="AC43" s="4">
        <v>50</v>
      </c>
      <c r="AD43" s="4">
        <v>105</v>
      </c>
      <c r="AE43" s="4" t="s">
        <v>40</v>
      </c>
      <c r="AF43" s="4">
        <v>5</v>
      </c>
      <c r="AG43" s="4">
        <v>5</v>
      </c>
      <c r="AH43" s="4">
        <v>7.000000000000001</v>
      </c>
      <c r="AI43" s="4" t="s">
        <v>40</v>
      </c>
      <c r="AJ43" s="4" t="s">
        <v>40</v>
      </c>
      <c r="AK43" s="4" t="s">
        <v>40</v>
      </c>
      <c r="AL43" s="4" t="s">
        <v>40</v>
      </c>
      <c r="AM43" s="1" t="s">
        <v>632</v>
      </c>
    </row>
    <row r="44" spans="1:39" ht="25.5">
      <c r="A44" s="6" t="str">
        <f>HYPERLINK("https://www.bioscidb.com/tag/gettag/32f6242a-70e4-4d1b-bf6e-770378186b7b","Tag")</f>
        <v>Tag</v>
      </c>
      <c r="B44" s="15" t="s">
        <v>850</v>
      </c>
      <c r="C44" s="3" t="s">
        <v>519</v>
      </c>
      <c r="D44" s="11" t="s">
        <v>524</v>
      </c>
      <c r="E44" s="11" t="s">
        <v>106</v>
      </c>
      <c r="F44" s="11" t="s">
        <v>85</v>
      </c>
      <c r="G44" s="1" t="s">
        <v>44</v>
      </c>
      <c r="H44" s="6" t="str">
        <f>HYPERLINK("https://www.bioscidb.com/browse/deal_bg/3283","Deal")</f>
        <v>Deal</v>
      </c>
      <c r="I44" s="4">
        <v>40</v>
      </c>
      <c r="J44" s="4">
        <v>900</v>
      </c>
      <c r="K44" s="4">
        <v>30</v>
      </c>
      <c r="L44" s="4" t="s">
        <v>40</v>
      </c>
      <c r="M44" s="4">
        <v>30</v>
      </c>
      <c r="N44" s="11" t="s">
        <v>65</v>
      </c>
      <c r="O44" s="1" t="s">
        <v>526</v>
      </c>
      <c r="P44" s="11" t="s">
        <v>525</v>
      </c>
      <c r="Q44" s="1" t="s">
        <v>42</v>
      </c>
      <c r="R44" s="11" t="s">
        <v>68</v>
      </c>
      <c r="S44" s="11" t="s">
        <v>527</v>
      </c>
      <c r="T44" s="11" t="s">
        <v>528</v>
      </c>
      <c r="U44" s="1" t="s">
        <v>63</v>
      </c>
      <c r="V44" s="1" t="s">
        <v>64</v>
      </c>
      <c r="W44" s="4" t="s">
        <v>40</v>
      </c>
      <c r="X44" s="4" t="s">
        <v>40</v>
      </c>
      <c r="Y44" s="4" t="s">
        <v>40</v>
      </c>
      <c r="Z44" s="4">
        <v>0.35</v>
      </c>
      <c r="AA44" s="4" t="s">
        <v>40</v>
      </c>
      <c r="AB44" s="4">
        <v>290</v>
      </c>
      <c r="AC44" s="4">
        <v>55</v>
      </c>
      <c r="AD44" s="4">
        <v>385</v>
      </c>
      <c r="AE44" s="4">
        <v>515</v>
      </c>
      <c r="AF44" s="4">
        <v>19</v>
      </c>
      <c r="AG44" s="4">
        <v>19</v>
      </c>
      <c r="AH44" s="4">
        <v>19</v>
      </c>
      <c r="AI44" s="4" t="s">
        <v>40</v>
      </c>
      <c r="AJ44" s="4" t="s">
        <v>40</v>
      </c>
      <c r="AK44" s="4" t="s">
        <v>40</v>
      </c>
      <c r="AL44" s="4" t="s">
        <v>40</v>
      </c>
      <c r="AM44" s="1" t="s">
        <v>529</v>
      </c>
    </row>
    <row r="45" spans="1:39" ht="25.5">
      <c r="A45" s="6" t="str">
        <f>HYPERLINK("https://www.bioscidb.com/tag/gettag/0a74d25b-32b6-4e4d-a221-8910034f15ec","Tag")</f>
        <v>Tag</v>
      </c>
      <c r="B45" s="15" t="s">
        <v>827</v>
      </c>
      <c r="C45" s="3" t="s">
        <v>519</v>
      </c>
      <c r="D45" s="11" t="s">
        <v>518</v>
      </c>
      <c r="E45" s="11" t="s">
        <v>117</v>
      </c>
      <c r="F45" s="11" t="s">
        <v>85</v>
      </c>
      <c r="G45" s="1" t="s">
        <v>44</v>
      </c>
      <c r="H45" s="6" t="str">
        <f>HYPERLINK("https://www.bioscidb.com/browse/deal_bg/5771","Deal")</f>
        <v>Deal</v>
      </c>
      <c r="I45" s="4">
        <v>5</v>
      </c>
      <c r="J45" s="4">
        <v>163</v>
      </c>
      <c r="K45" s="4">
        <v>16</v>
      </c>
      <c r="L45" s="4" t="s">
        <v>40</v>
      </c>
      <c r="M45" s="4">
        <v>16</v>
      </c>
      <c r="N45" s="11" t="s">
        <v>43</v>
      </c>
      <c r="O45" s="1" t="s">
        <v>293</v>
      </c>
      <c r="P45" s="11" t="s">
        <v>520</v>
      </c>
      <c r="Q45" s="1" t="s">
        <v>42</v>
      </c>
      <c r="R45" s="11" t="s">
        <v>68</v>
      </c>
      <c r="S45" s="11" t="s">
        <v>521</v>
      </c>
      <c r="T45" s="11" t="s">
        <v>522</v>
      </c>
      <c r="U45" s="1" t="s">
        <v>48</v>
      </c>
      <c r="V45" s="1" t="s">
        <v>49</v>
      </c>
      <c r="W45" s="4" t="s">
        <v>40</v>
      </c>
      <c r="X45" s="4" t="s">
        <v>40</v>
      </c>
      <c r="Y45" s="4" t="s">
        <v>40</v>
      </c>
      <c r="Z45" s="4" t="s">
        <v>40</v>
      </c>
      <c r="AA45" s="4" t="s">
        <v>40</v>
      </c>
      <c r="AB45" s="4">
        <v>83</v>
      </c>
      <c r="AC45" s="4" t="s">
        <v>40</v>
      </c>
      <c r="AD45" s="4">
        <v>88</v>
      </c>
      <c r="AE45" s="4">
        <v>75</v>
      </c>
      <c r="AF45" s="4">
        <v>16</v>
      </c>
      <c r="AG45" s="4">
        <v>16</v>
      </c>
      <c r="AH45" s="4">
        <v>16</v>
      </c>
      <c r="AI45" s="4" t="s">
        <v>40</v>
      </c>
      <c r="AJ45" s="4" t="s">
        <v>40</v>
      </c>
      <c r="AK45" s="4" t="s">
        <v>40</v>
      </c>
      <c r="AL45" s="4" t="s">
        <v>40</v>
      </c>
      <c r="AM45" s="1" t="s">
        <v>523</v>
      </c>
    </row>
    <row r="46" spans="1:39" ht="25.5">
      <c r="A46" s="6" t="str">
        <f>HYPERLINK("https://www.bioscidb.com/tag/gettag/56040db0-fa3f-4c24-8092-f7d94ccb4830","Tag")</f>
        <v>Tag</v>
      </c>
      <c r="B46" s="11" t="s">
        <v>852</v>
      </c>
      <c r="C46" s="3" t="s">
        <v>119</v>
      </c>
      <c r="D46" s="11" t="s">
        <v>611</v>
      </c>
      <c r="E46" s="11" t="s">
        <v>493</v>
      </c>
      <c r="F46" s="11" t="s">
        <v>85</v>
      </c>
      <c r="G46" s="1" t="s">
        <v>44</v>
      </c>
      <c r="H46" s="6" t="str">
        <f>HYPERLINK("https://www.bioscidb.com/browse/deal_bg/17334","Deal")</f>
        <v>Deal</v>
      </c>
      <c r="I46" s="4">
        <v>4</v>
      </c>
      <c r="J46" s="4">
        <v>467.5</v>
      </c>
      <c r="K46" s="4">
        <v>15</v>
      </c>
      <c r="L46" s="4" t="s">
        <v>40</v>
      </c>
      <c r="M46" s="4">
        <v>15</v>
      </c>
      <c r="N46" s="11" t="s">
        <v>197</v>
      </c>
      <c r="O46" s="1" t="s">
        <v>80</v>
      </c>
      <c r="P46" s="11" t="s">
        <v>612</v>
      </c>
      <c r="Q46" s="1" t="s">
        <v>42</v>
      </c>
      <c r="R46" s="11" t="s">
        <v>68</v>
      </c>
      <c r="S46" s="11" t="s">
        <v>250</v>
      </c>
      <c r="T46" s="11" t="s">
        <v>613</v>
      </c>
      <c r="U46" s="1" t="s">
        <v>113</v>
      </c>
      <c r="V46" s="1" t="s">
        <v>614</v>
      </c>
      <c r="W46" s="4">
        <v>6</v>
      </c>
      <c r="X46" s="4" t="s">
        <v>40</v>
      </c>
      <c r="Y46" s="4" t="s">
        <v>40</v>
      </c>
      <c r="Z46" s="4" t="s">
        <v>40</v>
      </c>
      <c r="AA46" s="4" t="s">
        <v>40</v>
      </c>
      <c r="AB46" s="4">
        <v>92.5</v>
      </c>
      <c r="AC46" s="4">
        <v>322</v>
      </c>
      <c r="AD46" s="4">
        <v>424.5</v>
      </c>
      <c r="AE46" s="4">
        <v>43</v>
      </c>
      <c r="AF46" s="4">
        <v>7.000000000000001</v>
      </c>
      <c r="AG46" s="4">
        <v>7.000000000000001</v>
      </c>
      <c r="AH46" s="4">
        <v>9</v>
      </c>
      <c r="AI46" s="4" t="s">
        <v>40</v>
      </c>
      <c r="AJ46" s="4" t="s">
        <v>40</v>
      </c>
      <c r="AK46" s="4" t="s">
        <v>40</v>
      </c>
      <c r="AL46" s="4" t="s">
        <v>40</v>
      </c>
      <c r="AM46" s="1" t="s">
        <v>615</v>
      </c>
    </row>
    <row r="47" spans="1:39" ht="25.5">
      <c r="A47" s="6" t="str">
        <f>HYPERLINK("https://www.bioscidb.com/tag/gettag/30035648-a79c-4836-ba53-0f9c1b16e468","Tag")</f>
        <v>Tag</v>
      </c>
      <c r="B47" s="11" t="s">
        <v>853</v>
      </c>
      <c r="C47" s="3" t="s">
        <v>193</v>
      </c>
      <c r="D47" s="11" t="s">
        <v>191</v>
      </c>
      <c r="E47" s="11" t="s">
        <v>192</v>
      </c>
      <c r="F47" s="11" t="s">
        <v>85</v>
      </c>
      <c r="G47" s="1" t="s">
        <v>44</v>
      </c>
      <c r="H47" s="6" t="str">
        <f>HYPERLINK("https://www.bioscidb.com/browse/deal_bg/7115","Deal")</f>
        <v>Deal</v>
      </c>
      <c r="I47" s="4">
        <v>40</v>
      </c>
      <c r="J47" s="4">
        <v>431.4</v>
      </c>
      <c r="K47" s="4">
        <v>13</v>
      </c>
      <c r="L47" s="4" t="s">
        <v>40</v>
      </c>
      <c r="M47" s="4">
        <v>13</v>
      </c>
      <c r="N47" s="11" t="s">
        <v>195</v>
      </c>
      <c r="O47" s="1" t="s">
        <v>196</v>
      </c>
      <c r="P47" s="11" t="s">
        <v>194</v>
      </c>
      <c r="Q47" s="1" t="s">
        <v>42</v>
      </c>
      <c r="R47" s="11" t="s">
        <v>68</v>
      </c>
      <c r="S47" s="11" t="s">
        <v>111</v>
      </c>
      <c r="T47" s="11" t="s">
        <v>112</v>
      </c>
      <c r="U47" s="1" t="s">
        <v>166</v>
      </c>
      <c r="V47" s="1" t="s">
        <v>167</v>
      </c>
      <c r="W47" s="4" t="s">
        <v>40</v>
      </c>
      <c r="X47" s="4" t="s">
        <v>40</v>
      </c>
      <c r="Y47" s="4">
        <v>0.7</v>
      </c>
      <c r="Z47" s="4" t="s">
        <v>40</v>
      </c>
      <c r="AA47" s="4" t="s">
        <v>40</v>
      </c>
      <c r="AB47" s="4">
        <v>57.7</v>
      </c>
      <c r="AC47" s="4">
        <v>288.6</v>
      </c>
      <c r="AD47" s="4">
        <v>387</v>
      </c>
      <c r="AE47" s="4">
        <v>44.4</v>
      </c>
      <c r="AF47" s="4">
        <v>5</v>
      </c>
      <c r="AG47" s="4">
        <v>5</v>
      </c>
      <c r="AH47" s="4">
        <v>6</v>
      </c>
      <c r="AI47" s="4" t="s">
        <v>40</v>
      </c>
      <c r="AJ47" s="4" t="s">
        <v>40</v>
      </c>
      <c r="AK47" s="4" t="s">
        <v>40</v>
      </c>
      <c r="AL47" s="4" t="s">
        <v>40</v>
      </c>
      <c r="AM47" s="1" t="s">
        <v>198</v>
      </c>
    </row>
    <row r="48" spans="1:39" ht="12.75">
      <c r="A48" s="6" t="str">
        <f>HYPERLINK("https://www.bioscidb.com/tag/gettag/0f677a4d-3e6e-4956-bb70-d702edc1afe3","Tag")</f>
        <v>Tag</v>
      </c>
      <c r="B48" s="15" t="s">
        <v>827</v>
      </c>
      <c r="C48" s="3" t="s">
        <v>193</v>
      </c>
      <c r="D48" s="11" t="s">
        <v>748</v>
      </c>
      <c r="E48" s="11" t="s">
        <v>151</v>
      </c>
      <c r="F48" s="11" t="s">
        <v>40</v>
      </c>
      <c r="G48" s="1" t="s">
        <v>44</v>
      </c>
      <c r="H48" s="6" t="str">
        <f>HYPERLINK("https://www.bioscidb.com/browse/deal_bg/13015","Deal")</f>
        <v>Deal</v>
      </c>
      <c r="I48" s="4">
        <v>0.05</v>
      </c>
      <c r="J48" s="4">
        <v>0.05</v>
      </c>
      <c r="K48" s="4">
        <v>2</v>
      </c>
      <c r="L48" s="4" t="s">
        <v>40</v>
      </c>
      <c r="M48" s="4">
        <v>2</v>
      </c>
      <c r="N48" s="11" t="s">
        <v>283</v>
      </c>
      <c r="O48" s="1" t="s">
        <v>411</v>
      </c>
      <c r="P48" s="11" t="s">
        <v>749</v>
      </c>
      <c r="Q48" s="1" t="s">
        <v>42</v>
      </c>
      <c r="R48" s="11" t="s">
        <v>68</v>
      </c>
      <c r="S48" s="11" t="s">
        <v>534</v>
      </c>
      <c r="T48" s="11" t="s">
        <v>593</v>
      </c>
      <c r="U48" s="1" t="s">
        <v>750</v>
      </c>
      <c r="V48" s="1" t="s">
        <v>40</v>
      </c>
      <c r="W48" s="4" t="s">
        <v>40</v>
      </c>
      <c r="X48" s="4" t="s">
        <v>40</v>
      </c>
      <c r="Y48" s="4" t="s">
        <v>40</v>
      </c>
      <c r="Z48" s="4" t="s">
        <v>40</v>
      </c>
      <c r="AA48" s="4" t="s">
        <v>40</v>
      </c>
      <c r="AB48" s="4" t="s">
        <v>40</v>
      </c>
      <c r="AC48" s="4" t="s">
        <v>40</v>
      </c>
      <c r="AD48" s="4">
        <v>0.05</v>
      </c>
      <c r="AE48" s="4" t="s">
        <v>40</v>
      </c>
      <c r="AF48" s="4">
        <v>2</v>
      </c>
      <c r="AG48" s="4">
        <v>2</v>
      </c>
      <c r="AH48" s="4">
        <v>2</v>
      </c>
      <c r="AI48" s="4" t="s">
        <v>40</v>
      </c>
      <c r="AJ48" s="4" t="s">
        <v>40</v>
      </c>
      <c r="AK48" s="4" t="s">
        <v>40</v>
      </c>
      <c r="AL48" s="4" t="s">
        <v>40</v>
      </c>
      <c r="AM48" s="1" t="s">
        <v>751</v>
      </c>
    </row>
    <row r="49" spans="1:39" ht="25.5">
      <c r="A49" s="6" t="str">
        <f>HYPERLINK("https://www.bioscidb.com/tag/gettag/b7e46fe1-75fb-4f06-8a23-3acf6ea31c1f","Tag")</f>
        <v>Tag</v>
      </c>
      <c r="B49" s="15" t="s">
        <v>827</v>
      </c>
      <c r="C49" s="3" t="s">
        <v>57</v>
      </c>
      <c r="D49" s="11" t="s">
        <v>371</v>
      </c>
      <c r="E49" s="11" t="s">
        <v>75</v>
      </c>
      <c r="F49" s="11" t="s">
        <v>85</v>
      </c>
      <c r="G49" s="1" t="s">
        <v>44</v>
      </c>
      <c r="H49" s="6" t="str">
        <f>HYPERLINK("https://www.bioscidb.com/browse/deal_bg/9049","Deal")</f>
        <v>Deal</v>
      </c>
      <c r="I49" s="4">
        <v>40</v>
      </c>
      <c r="J49" s="4">
        <v>592</v>
      </c>
      <c r="K49" s="4">
        <v>23</v>
      </c>
      <c r="L49" s="4">
        <v>30</v>
      </c>
      <c r="M49" s="4">
        <v>23</v>
      </c>
      <c r="N49" s="11" t="s">
        <v>373</v>
      </c>
      <c r="O49" s="1" t="s">
        <v>374</v>
      </c>
      <c r="P49" s="11" t="s">
        <v>372</v>
      </c>
      <c r="Q49" s="1" t="s">
        <v>42</v>
      </c>
      <c r="R49" s="11" t="s">
        <v>68</v>
      </c>
      <c r="S49" s="11" t="s">
        <v>375</v>
      </c>
      <c r="T49" s="11" t="s">
        <v>376</v>
      </c>
      <c r="U49" s="1" t="s">
        <v>48</v>
      </c>
      <c r="V49" s="1" t="s">
        <v>49</v>
      </c>
      <c r="W49" s="4">
        <v>30</v>
      </c>
      <c r="X49" s="4" t="s">
        <v>40</v>
      </c>
      <c r="Y49" s="4">
        <v>15</v>
      </c>
      <c r="Z49" s="4" t="s">
        <v>40</v>
      </c>
      <c r="AA49" s="4" t="s">
        <v>40</v>
      </c>
      <c r="AB49" s="4">
        <v>60</v>
      </c>
      <c r="AC49" s="4">
        <v>447</v>
      </c>
      <c r="AD49" s="4">
        <v>592</v>
      </c>
      <c r="AE49" s="4" t="s">
        <v>40</v>
      </c>
      <c r="AF49" s="4">
        <v>13</v>
      </c>
      <c r="AG49" s="4">
        <v>13</v>
      </c>
      <c r="AH49" s="4">
        <v>13</v>
      </c>
      <c r="AI49" s="4" t="s">
        <v>40</v>
      </c>
      <c r="AJ49" s="4" t="s">
        <v>40</v>
      </c>
      <c r="AK49" s="4" t="s">
        <v>40</v>
      </c>
      <c r="AL49" s="4" t="s">
        <v>40</v>
      </c>
      <c r="AM49" s="1" t="s">
        <v>377</v>
      </c>
    </row>
    <row r="50" spans="1:39" ht="25.5">
      <c r="A50" s="6" t="str">
        <f>HYPERLINK("https://www.bioscidb.com/tag/gettag/6c8ce3bc-832b-46d5-a3e8-8f3e6d05e0fb","Tag")</f>
        <v>Tag</v>
      </c>
      <c r="B50" s="15" t="s">
        <v>854</v>
      </c>
      <c r="C50" s="3" t="s">
        <v>240</v>
      </c>
      <c r="D50" s="11" t="s">
        <v>238</v>
      </c>
      <c r="E50" s="11" t="s">
        <v>239</v>
      </c>
      <c r="F50" s="11" t="s">
        <v>128</v>
      </c>
      <c r="G50" s="1" t="s">
        <v>44</v>
      </c>
      <c r="H50" s="6" t="str">
        <f>HYPERLINK("https://www.bioscidb.com/browse/deal_bg/13236","Deal")</f>
        <v>Deal</v>
      </c>
      <c r="I50" s="4">
        <v>0.6</v>
      </c>
      <c r="J50" s="4">
        <v>16.35</v>
      </c>
      <c r="K50" s="4">
        <v>14.000000000000002</v>
      </c>
      <c r="L50" s="4" t="s">
        <v>40</v>
      </c>
      <c r="M50" s="4">
        <v>14.000000000000002</v>
      </c>
      <c r="N50" s="11" t="s">
        <v>43</v>
      </c>
      <c r="O50" s="1" t="s">
        <v>132</v>
      </c>
      <c r="P50" s="11" t="s">
        <v>241</v>
      </c>
      <c r="Q50" s="1" t="s">
        <v>42</v>
      </c>
      <c r="R50" s="11" t="s">
        <v>68</v>
      </c>
      <c r="S50" s="11" t="s">
        <v>81</v>
      </c>
      <c r="T50" s="11" t="s">
        <v>242</v>
      </c>
      <c r="U50" s="1" t="s">
        <v>48</v>
      </c>
      <c r="V50" s="1" t="s">
        <v>49</v>
      </c>
      <c r="W50" s="4" t="s">
        <v>40</v>
      </c>
      <c r="X50" s="4" t="s">
        <v>40</v>
      </c>
      <c r="Y50" s="4" t="s">
        <v>40</v>
      </c>
      <c r="Z50" s="4" t="s">
        <v>40</v>
      </c>
      <c r="AA50" s="4" t="s">
        <v>40</v>
      </c>
      <c r="AB50" s="4">
        <v>10.5</v>
      </c>
      <c r="AC50" s="4">
        <v>5.25</v>
      </c>
      <c r="AD50" s="4">
        <v>16.35</v>
      </c>
      <c r="AE50" s="4" t="s">
        <v>40</v>
      </c>
      <c r="AF50" s="4">
        <v>11</v>
      </c>
      <c r="AG50" s="4">
        <v>12</v>
      </c>
      <c r="AH50" s="4">
        <v>12</v>
      </c>
      <c r="AI50" s="4" t="s">
        <v>40</v>
      </c>
      <c r="AJ50" s="4" t="s">
        <v>40</v>
      </c>
      <c r="AK50" s="4" t="s">
        <v>40</v>
      </c>
      <c r="AL50" s="4" t="s">
        <v>40</v>
      </c>
      <c r="AM50" s="1" t="s">
        <v>243</v>
      </c>
    </row>
    <row r="51" spans="1:39" ht="25.5">
      <c r="A51" s="6" t="str">
        <f>HYPERLINK("https://www.bioscidb.com/tag/gettag/e4474d01-263f-4029-b4f7-535cf829e846","Tag")</f>
        <v>Tag</v>
      </c>
      <c r="B51" s="15" t="s">
        <v>827</v>
      </c>
      <c r="C51" s="3" t="s">
        <v>379</v>
      </c>
      <c r="D51" s="11" t="s">
        <v>360</v>
      </c>
      <c r="E51" s="11" t="s">
        <v>378</v>
      </c>
      <c r="F51" s="11" t="s">
        <v>51</v>
      </c>
      <c r="G51" s="1" t="s">
        <v>44</v>
      </c>
      <c r="H51" s="6" t="str">
        <f>HYPERLINK("https://www.bioscidb.com/browse/deal_bg/1965","Deal")</f>
        <v>Deal</v>
      </c>
      <c r="I51" s="4">
        <v>20</v>
      </c>
      <c r="J51" s="4">
        <v>100</v>
      </c>
      <c r="K51" s="4">
        <v>14.000000000000002</v>
      </c>
      <c r="L51" s="4" t="s">
        <v>40</v>
      </c>
      <c r="M51" s="4">
        <v>14.000000000000002</v>
      </c>
      <c r="N51" s="11" t="s">
        <v>43</v>
      </c>
      <c r="O51" s="1" t="s">
        <v>155</v>
      </c>
      <c r="P51" s="11" t="s">
        <v>380</v>
      </c>
      <c r="Q51" s="1" t="s">
        <v>42</v>
      </c>
      <c r="R51" s="11" t="s">
        <v>290</v>
      </c>
      <c r="S51" s="11" t="s">
        <v>381</v>
      </c>
      <c r="T51" s="11" t="s">
        <v>382</v>
      </c>
      <c r="U51" s="1" t="s">
        <v>48</v>
      </c>
      <c r="V51" s="1" t="s">
        <v>49</v>
      </c>
      <c r="W51" s="4" t="s">
        <v>40</v>
      </c>
      <c r="X51" s="4" t="s">
        <v>40</v>
      </c>
      <c r="Y51" s="4" t="s">
        <v>40</v>
      </c>
      <c r="Z51" s="4" t="s">
        <v>40</v>
      </c>
      <c r="AA51" s="4" t="s">
        <v>40</v>
      </c>
      <c r="AB51" s="4">
        <v>25</v>
      </c>
      <c r="AC51" s="4" t="s">
        <v>40</v>
      </c>
      <c r="AD51" s="4">
        <v>45</v>
      </c>
      <c r="AE51" s="4">
        <v>55</v>
      </c>
      <c r="AF51" s="4">
        <v>11</v>
      </c>
      <c r="AG51" s="4">
        <v>13</v>
      </c>
      <c r="AH51" s="4">
        <v>14.000000000000002</v>
      </c>
      <c r="AI51" s="4" t="s">
        <v>40</v>
      </c>
      <c r="AJ51" s="4" t="s">
        <v>40</v>
      </c>
      <c r="AK51" s="4" t="s">
        <v>40</v>
      </c>
      <c r="AL51" s="4" t="s">
        <v>40</v>
      </c>
      <c r="AM51" s="1" t="s">
        <v>40</v>
      </c>
    </row>
    <row r="52" spans="1:39" ht="25.5">
      <c r="A52" s="6" t="str">
        <f>HYPERLINK("https://www.bioscidb.com/tag/gettag/ba1fed1d-21b7-435a-b6d2-3755508184c0","Tag")</f>
        <v>Tag</v>
      </c>
      <c r="B52" s="15" t="s">
        <v>827</v>
      </c>
      <c r="C52" s="3" t="s">
        <v>379</v>
      </c>
      <c r="D52" s="11" t="s">
        <v>633</v>
      </c>
      <c r="E52" s="11" t="s">
        <v>117</v>
      </c>
      <c r="F52" s="11" t="s">
        <v>85</v>
      </c>
      <c r="G52" s="1" t="s">
        <v>44</v>
      </c>
      <c r="H52" s="6" t="str">
        <f>HYPERLINK("https://www.bioscidb.com/browse/deal_bg/2920","Deal")</f>
        <v>Deal</v>
      </c>
      <c r="I52" s="4">
        <v>20</v>
      </c>
      <c r="J52" s="4">
        <v>155</v>
      </c>
      <c r="K52" s="4">
        <v>23</v>
      </c>
      <c r="L52" s="4" t="s">
        <v>40</v>
      </c>
      <c r="M52" s="4">
        <v>23</v>
      </c>
      <c r="N52" s="11" t="s">
        <v>635</v>
      </c>
      <c r="O52" s="1" t="s">
        <v>636</v>
      </c>
      <c r="P52" s="11" t="s">
        <v>634</v>
      </c>
      <c r="Q52" s="1" t="s">
        <v>42</v>
      </c>
      <c r="R52" s="11" t="s">
        <v>639</v>
      </c>
      <c r="S52" s="11" t="s">
        <v>146</v>
      </c>
      <c r="T52" s="11" t="s">
        <v>637</v>
      </c>
      <c r="U52" s="1" t="s">
        <v>63</v>
      </c>
      <c r="V52" s="1" t="s">
        <v>638</v>
      </c>
      <c r="W52" s="4" t="s">
        <v>40</v>
      </c>
      <c r="X52" s="4" t="s">
        <v>40</v>
      </c>
      <c r="Y52" s="4" t="s">
        <v>40</v>
      </c>
      <c r="Z52" s="4" t="s">
        <v>40</v>
      </c>
      <c r="AA52" s="4" t="s">
        <v>40</v>
      </c>
      <c r="AB52" s="4">
        <v>45</v>
      </c>
      <c r="AC52" s="4" t="s">
        <v>40</v>
      </c>
      <c r="AD52" s="4">
        <v>65</v>
      </c>
      <c r="AE52" s="4">
        <v>90</v>
      </c>
      <c r="AF52" s="4">
        <v>14.000000000000002</v>
      </c>
      <c r="AG52" s="4">
        <v>19</v>
      </c>
      <c r="AH52" s="4">
        <v>21</v>
      </c>
      <c r="AI52" s="4" t="s">
        <v>40</v>
      </c>
      <c r="AJ52" s="4" t="s">
        <v>40</v>
      </c>
      <c r="AK52" s="4">
        <v>25</v>
      </c>
      <c r="AL52" s="4" t="s">
        <v>40</v>
      </c>
      <c r="AM52" s="1" t="s">
        <v>40</v>
      </c>
    </row>
    <row r="53" spans="1:39" ht="25.5">
      <c r="A53" s="6" t="str">
        <f>HYPERLINK("https://www.bioscidb.com/tag/gettag/90d079c8-ad11-4ad8-8885-ea010f4ad3a2","Tag")</f>
        <v>Tag</v>
      </c>
      <c r="B53" s="11" t="s">
        <v>855</v>
      </c>
      <c r="C53" s="3" t="s">
        <v>761</v>
      </c>
      <c r="D53" s="11" t="s">
        <v>760</v>
      </c>
      <c r="E53" s="11" t="s">
        <v>485</v>
      </c>
      <c r="F53" s="11" t="s">
        <v>40</v>
      </c>
      <c r="G53" s="1" t="s">
        <v>44</v>
      </c>
      <c r="H53" s="6" t="str">
        <f>HYPERLINK("https://www.bioscidb.com/browse/deal_bg/3707","Deal")</f>
        <v>Deal</v>
      </c>
      <c r="I53" s="4">
        <v>0.88</v>
      </c>
      <c r="J53" s="4">
        <v>14</v>
      </c>
      <c r="K53" s="4">
        <v>10</v>
      </c>
      <c r="L53" s="4">
        <v>3.47</v>
      </c>
      <c r="M53" s="4">
        <v>10</v>
      </c>
      <c r="N53" s="11" t="s">
        <v>474</v>
      </c>
      <c r="O53" s="1" t="s">
        <v>60</v>
      </c>
      <c r="P53" s="11" t="s">
        <v>762</v>
      </c>
      <c r="Q53" s="1" t="s">
        <v>42</v>
      </c>
      <c r="R53" s="11" t="s">
        <v>68</v>
      </c>
      <c r="S53" s="11" t="s">
        <v>46</v>
      </c>
      <c r="T53" s="11" t="s">
        <v>437</v>
      </c>
      <c r="U53" s="1" t="s">
        <v>63</v>
      </c>
      <c r="V53" s="1" t="s">
        <v>64</v>
      </c>
      <c r="W53" s="4">
        <v>3.47</v>
      </c>
      <c r="X53" s="4" t="s">
        <v>40</v>
      </c>
      <c r="Y53" s="4" t="s">
        <v>40</v>
      </c>
      <c r="Z53" s="4" t="s">
        <v>40</v>
      </c>
      <c r="AA53" s="4" t="s">
        <v>40</v>
      </c>
      <c r="AB53" s="4">
        <v>9.65</v>
      </c>
      <c r="AC53" s="4" t="s">
        <v>40</v>
      </c>
      <c r="AD53" s="4">
        <v>14</v>
      </c>
      <c r="AE53" s="4" t="s">
        <v>40</v>
      </c>
      <c r="AF53" s="4">
        <v>9</v>
      </c>
      <c r="AG53" s="4">
        <v>7.000000000000001</v>
      </c>
      <c r="AH53" s="4">
        <v>5</v>
      </c>
      <c r="AI53" s="4" t="s">
        <v>40</v>
      </c>
      <c r="AJ53" s="4" t="s">
        <v>40</v>
      </c>
      <c r="AK53" s="4" t="s">
        <v>40</v>
      </c>
      <c r="AL53" s="4" t="s">
        <v>40</v>
      </c>
      <c r="AM53" s="1" t="s">
        <v>40</v>
      </c>
    </row>
    <row r="54" spans="1:39" ht="25.5">
      <c r="A54" s="6" t="str">
        <f>HYPERLINK("https://www.bioscidb.com/tag/gettag/e494224a-e985-4648-88fd-6b93c5deb1fc","Tag")</f>
        <v>Tag</v>
      </c>
      <c r="B54" s="15" t="s">
        <v>827</v>
      </c>
      <c r="C54" s="3" t="s">
        <v>531</v>
      </c>
      <c r="D54" s="11" t="s">
        <v>530</v>
      </c>
      <c r="E54" s="11" t="s">
        <v>75</v>
      </c>
      <c r="F54" s="11" t="s">
        <v>85</v>
      </c>
      <c r="G54" s="1" t="s">
        <v>44</v>
      </c>
      <c r="H54" s="6" t="str">
        <f>HYPERLINK("https://www.bioscidb.com/browse/deal_bg/9047","Deal")</f>
        <v>Deal</v>
      </c>
      <c r="I54" s="4">
        <v>20</v>
      </c>
      <c r="J54" s="4">
        <v>207.5</v>
      </c>
      <c r="K54" s="4">
        <v>9</v>
      </c>
      <c r="L54" s="4" t="s">
        <v>40</v>
      </c>
      <c r="M54" s="4">
        <v>9</v>
      </c>
      <c r="N54" s="11" t="s">
        <v>248</v>
      </c>
      <c r="O54" s="1" t="s">
        <v>533</v>
      </c>
      <c r="P54" s="11" t="s">
        <v>532</v>
      </c>
      <c r="Q54" s="1" t="s">
        <v>42</v>
      </c>
      <c r="R54" s="11" t="s">
        <v>68</v>
      </c>
      <c r="S54" s="11" t="s">
        <v>534</v>
      </c>
      <c r="T54" s="11" t="s">
        <v>535</v>
      </c>
      <c r="U54" s="1" t="s">
        <v>63</v>
      </c>
      <c r="V54" s="1" t="s">
        <v>311</v>
      </c>
      <c r="W54" s="4" t="s">
        <v>40</v>
      </c>
      <c r="X54" s="4" t="s">
        <v>40</v>
      </c>
      <c r="Y54" s="4">
        <v>3.5</v>
      </c>
      <c r="Z54" s="4" t="s">
        <v>40</v>
      </c>
      <c r="AA54" s="4" t="s">
        <v>40</v>
      </c>
      <c r="AB54" s="4">
        <v>78</v>
      </c>
      <c r="AC54" s="4">
        <v>106</v>
      </c>
      <c r="AD54" s="4">
        <v>207.5</v>
      </c>
      <c r="AE54" s="4" t="s">
        <v>40</v>
      </c>
      <c r="AF54" s="4">
        <v>9</v>
      </c>
      <c r="AG54" s="4">
        <v>9</v>
      </c>
      <c r="AH54" s="4">
        <v>9</v>
      </c>
      <c r="AI54" s="4" t="s">
        <v>40</v>
      </c>
      <c r="AJ54" s="4" t="s">
        <v>40</v>
      </c>
      <c r="AK54" s="4">
        <v>65</v>
      </c>
      <c r="AL54" s="4" t="s">
        <v>40</v>
      </c>
      <c r="AM54" s="1" t="s">
        <v>536</v>
      </c>
    </row>
    <row r="55" spans="1:39" ht="26.25" customHeight="1">
      <c r="A55" s="6" t="str">
        <f>HYPERLINK("https://www.bioscidb.com/tag/gettag/9ca81cc7-2738-4f13-8500-6a0854a969f5","Tag")</f>
        <v>Tag</v>
      </c>
      <c r="B55" s="11" t="s">
        <v>852</v>
      </c>
      <c r="C55" s="3" t="s">
        <v>385</v>
      </c>
      <c r="D55" s="11" t="s">
        <v>763</v>
      </c>
      <c r="E55" s="11" t="s">
        <v>764</v>
      </c>
      <c r="F55" s="11" t="s">
        <v>85</v>
      </c>
      <c r="G55" s="1" t="s">
        <v>44</v>
      </c>
      <c r="H55" s="6" t="str">
        <f>HYPERLINK("https://www.bioscidb.com/browse/deal_bg/9033","Deal")</f>
        <v>Deal</v>
      </c>
      <c r="I55" s="4">
        <v>60</v>
      </c>
      <c r="J55" s="4">
        <v>452</v>
      </c>
      <c r="K55" s="4">
        <v>24</v>
      </c>
      <c r="L55" s="4">
        <v>12</v>
      </c>
      <c r="M55" s="4">
        <v>24</v>
      </c>
      <c r="N55" s="11" t="s">
        <v>766</v>
      </c>
      <c r="O55" s="1" t="s">
        <v>427</v>
      </c>
      <c r="P55" s="11" t="s">
        <v>765</v>
      </c>
      <c r="Q55" s="1" t="s">
        <v>42</v>
      </c>
      <c r="R55" s="11" t="s">
        <v>68</v>
      </c>
      <c r="S55" s="11" t="s">
        <v>111</v>
      </c>
      <c r="T55" s="11" t="s">
        <v>369</v>
      </c>
      <c r="U55" s="1" t="s">
        <v>48</v>
      </c>
      <c r="V55" s="1" t="s">
        <v>49</v>
      </c>
      <c r="W55" s="4">
        <v>12</v>
      </c>
      <c r="X55" s="4" t="s">
        <v>40</v>
      </c>
      <c r="Y55" s="4" t="s">
        <v>40</v>
      </c>
      <c r="Z55" s="4">
        <v>0.25</v>
      </c>
      <c r="AA55" s="4" t="s">
        <v>40</v>
      </c>
      <c r="AB55" s="4">
        <v>50</v>
      </c>
      <c r="AC55" s="4">
        <v>330</v>
      </c>
      <c r="AD55" s="4">
        <v>452</v>
      </c>
      <c r="AE55" s="4" t="s">
        <v>40</v>
      </c>
      <c r="AF55" s="4">
        <v>18</v>
      </c>
      <c r="AG55" s="4">
        <v>19</v>
      </c>
      <c r="AH55" s="4">
        <v>21</v>
      </c>
      <c r="AI55" s="4" t="s">
        <v>40</v>
      </c>
      <c r="AJ55" s="4" t="s">
        <v>40</v>
      </c>
      <c r="AK55" s="4" t="s">
        <v>40</v>
      </c>
      <c r="AL55" s="4" t="s">
        <v>40</v>
      </c>
      <c r="AM55" s="1" t="s">
        <v>40</v>
      </c>
    </row>
    <row r="56" spans="1:39" ht="25.5">
      <c r="A56" s="6" t="str">
        <f>HYPERLINK("https://www.bioscidb.com/tag/gettag/54408343-d3ce-49a0-85aa-1e6775c9ba51","Tag")</f>
        <v>Tag</v>
      </c>
      <c r="B56" s="15" t="s">
        <v>827</v>
      </c>
      <c r="C56" s="3" t="s">
        <v>385</v>
      </c>
      <c r="D56" s="11" t="s">
        <v>383</v>
      </c>
      <c r="E56" s="11" t="s">
        <v>384</v>
      </c>
      <c r="F56" s="11" t="s">
        <v>52</v>
      </c>
      <c r="G56" s="1" t="s">
        <v>44</v>
      </c>
      <c r="H56" s="6" t="str">
        <f>HYPERLINK("https://www.bioscidb.com/browse/deal_bg/8148","Deal")</f>
        <v>Deal</v>
      </c>
      <c r="I56" s="4" t="s">
        <v>40</v>
      </c>
      <c r="J56" s="4">
        <v>0.75</v>
      </c>
      <c r="K56" s="4">
        <v>2</v>
      </c>
      <c r="L56" s="4" t="s">
        <v>40</v>
      </c>
      <c r="M56" s="4">
        <v>2</v>
      </c>
      <c r="N56" s="11" t="s">
        <v>197</v>
      </c>
      <c r="O56" s="1" t="s">
        <v>387</v>
      </c>
      <c r="P56" s="11" t="s">
        <v>386</v>
      </c>
      <c r="Q56" s="1" t="s">
        <v>42</v>
      </c>
      <c r="R56" s="11" t="s">
        <v>68</v>
      </c>
      <c r="S56" s="11" t="s">
        <v>46</v>
      </c>
      <c r="T56" s="11" t="s">
        <v>388</v>
      </c>
      <c r="U56" s="1" t="s">
        <v>389</v>
      </c>
      <c r="V56" s="1" t="s">
        <v>40</v>
      </c>
      <c r="W56" s="4" t="s">
        <v>40</v>
      </c>
      <c r="X56" s="4" t="s">
        <v>40</v>
      </c>
      <c r="Y56" s="4" t="s">
        <v>40</v>
      </c>
      <c r="Z56" s="4" t="s">
        <v>40</v>
      </c>
      <c r="AA56" s="4" t="s">
        <v>40</v>
      </c>
      <c r="AB56" s="4">
        <v>0.75</v>
      </c>
      <c r="AC56" s="4" t="s">
        <v>40</v>
      </c>
      <c r="AD56" s="4">
        <v>0.75</v>
      </c>
      <c r="AE56" s="4" t="s">
        <v>40</v>
      </c>
      <c r="AF56" s="4">
        <v>2</v>
      </c>
      <c r="AG56" s="4">
        <v>2</v>
      </c>
      <c r="AH56" s="4">
        <v>2</v>
      </c>
      <c r="AI56" s="4" t="s">
        <v>40</v>
      </c>
      <c r="AJ56" s="4" t="s">
        <v>40</v>
      </c>
      <c r="AK56" s="4" t="s">
        <v>40</v>
      </c>
      <c r="AL56" s="4" t="s">
        <v>40</v>
      </c>
      <c r="AM56" s="1" t="s">
        <v>40</v>
      </c>
    </row>
    <row r="57" spans="1:39" ht="12.75">
      <c r="A57" s="6" t="str">
        <f>HYPERLINK("https://www.bioscidb.com/tag/gettag/aa565cbe-1e3d-43d6-a7f2-67b7ff7e8433","Tag")</f>
        <v>Tag</v>
      </c>
      <c r="B57" s="15" t="s">
        <v>827</v>
      </c>
      <c r="C57" s="3" t="s">
        <v>538</v>
      </c>
      <c r="D57" s="11" t="s">
        <v>537</v>
      </c>
      <c r="E57" s="11" t="s">
        <v>75</v>
      </c>
      <c r="F57" s="11" t="s">
        <v>85</v>
      </c>
      <c r="G57" s="1" t="s">
        <v>44</v>
      </c>
      <c r="H57" s="6" t="str">
        <f>HYPERLINK("https://www.bioscidb.com/browse/deal_bg/3776","Deal")</f>
        <v>Deal</v>
      </c>
      <c r="I57" s="4">
        <v>4</v>
      </c>
      <c r="J57" s="4">
        <v>15.5</v>
      </c>
      <c r="K57" s="4">
        <v>4</v>
      </c>
      <c r="L57" s="4" t="s">
        <v>40</v>
      </c>
      <c r="M57" s="4">
        <v>4</v>
      </c>
      <c r="N57" s="11" t="s">
        <v>43</v>
      </c>
      <c r="O57" s="1" t="s">
        <v>45</v>
      </c>
      <c r="P57" s="11" t="s">
        <v>539</v>
      </c>
      <c r="Q57" s="1" t="s">
        <v>89</v>
      </c>
      <c r="R57" s="11" t="s">
        <v>68</v>
      </c>
      <c r="S57" s="11" t="s">
        <v>101</v>
      </c>
      <c r="T57" s="11" t="s">
        <v>344</v>
      </c>
      <c r="U57" s="1" t="s">
        <v>540</v>
      </c>
      <c r="V57" s="1" t="s">
        <v>40</v>
      </c>
      <c r="W57" s="4" t="s">
        <v>40</v>
      </c>
      <c r="X57" s="4" t="s">
        <v>40</v>
      </c>
      <c r="Y57" s="4" t="s">
        <v>40</v>
      </c>
      <c r="Z57" s="4" t="s">
        <v>40</v>
      </c>
      <c r="AA57" s="4" t="s">
        <v>40</v>
      </c>
      <c r="AB57" s="4">
        <v>11</v>
      </c>
      <c r="AC57" s="4">
        <v>0.5</v>
      </c>
      <c r="AD57" s="4">
        <v>15.5</v>
      </c>
      <c r="AE57" s="4" t="s">
        <v>40</v>
      </c>
      <c r="AF57" s="4">
        <v>4</v>
      </c>
      <c r="AG57" s="4">
        <v>4</v>
      </c>
      <c r="AH57" s="4">
        <v>4</v>
      </c>
      <c r="AI57" s="4" t="s">
        <v>40</v>
      </c>
      <c r="AJ57" s="4" t="s">
        <v>40</v>
      </c>
      <c r="AK57" s="4" t="s">
        <v>40</v>
      </c>
      <c r="AL57" s="4" t="s">
        <v>40</v>
      </c>
      <c r="AM57" s="1" t="s">
        <v>40</v>
      </c>
    </row>
    <row r="58" spans="1:39" ht="25.5">
      <c r="A58" s="6" t="str">
        <f>HYPERLINK("https://www.bioscidb.com/tag/gettag/ed0d3cec-9f03-402a-973a-3ebaef10d1f8","Tag")</f>
        <v>Tag</v>
      </c>
      <c r="B58" s="15" t="s">
        <v>827</v>
      </c>
      <c r="C58" s="3" t="s">
        <v>542</v>
      </c>
      <c r="D58" s="11" t="s">
        <v>767</v>
      </c>
      <c r="E58" s="11" t="s">
        <v>75</v>
      </c>
      <c r="F58" s="11" t="s">
        <v>85</v>
      </c>
      <c r="G58" s="1" t="s">
        <v>44</v>
      </c>
      <c r="H58" s="6" t="str">
        <f>HYPERLINK("https://www.bioscidb.com/browse/deal_bg/11048","Deal")</f>
        <v>Deal</v>
      </c>
      <c r="I58" s="4" t="s">
        <v>40</v>
      </c>
      <c r="J58" s="4">
        <v>202</v>
      </c>
      <c r="K58" s="4">
        <v>10</v>
      </c>
      <c r="L58" s="4" t="s">
        <v>40</v>
      </c>
      <c r="M58" s="4">
        <v>10</v>
      </c>
      <c r="N58" s="11" t="s">
        <v>673</v>
      </c>
      <c r="O58" s="1" t="s">
        <v>110</v>
      </c>
      <c r="P58" s="11" t="s">
        <v>768</v>
      </c>
      <c r="Q58" s="1" t="s">
        <v>42</v>
      </c>
      <c r="R58" s="11" t="s">
        <v>68</v>
      </c>
      <c r="S58" s="11" t="s">
        <v>111</v>
      </c>
      <c r="T58" s="11" t="s">
        <v>112</v>
      </c>
      <c r="U58" s="1" t="s">
        <v>769</v>
      </c>
      <c r="V58" s="1" t="s">
        <v>40</v>
      </c>
      <c r="W58" s="4" t="s">
        <v>40</v>
      </c>
      <c r="X58" s="4" t="s">
        <v>40</v>
      </c>
      <c r="Y58" s="4" t="s">
        <v>40</v>
      </c>
      <c r="Z58" s="4" t="s">
        <v>40</v>
      </c>
      <c r="AA58" s="4" t="s">
        <v>40</v>
      </c>
      <c r="AB58" s="4">
        <v>108</v>
      </c>
      <c r="AC58" s="4">
        <v>64</v>
      </c>
      <c r="AD58" s="4">
        <v>172</v>
      </c>
      <c r="AE58" s="4">
        <v>30</v>
      </c>
      <c r="AF58" s="4">
        <v>8</v>
      </c>
      <c r="AG58" s="4">
        <v>8</v>
      </c>
      <c r="AH58" s="4">
        <v>9</v>
      </c>
      <c r="AI58" s="4" t="s">
        <v>40</v>
      </c>
      <c r="AJ58" s="4" t="s">
        <v>40</v>
      </c>
      <c r="AK58" s="4" t="s">
        <v>40</v>
      </c>
      <c r="AL58" s="4" t="s">
        <v>40</v>
      </c>
      <c r="AM58" s="1" t="s">
        <v>40</v>
      </c>
    </row>
    <row r="59" spans="1:39" ht="25.5">
      <c r="A59" s="6" t="str">
        <f>HYPERLINK("https://www.bioscidb.com/tag/gettag/a9f46095-6980-4af2-8d98-e1efcb49c0e8","Tag")</f>
        <v>Tag</v>
      </c>
      <c r="B59" s="15" t="s">
        <v>854</v>
      </c>
      <c r="C59" s="3" t="s">
        <v>542</v>
      </c>
      <c r="D59" s="11" t="s">
        <v>640</v>
      </c>
      <c r="E59" s="11" t="s">
        <v>641</v>
      </c>
      <c r="F59" s="11" t="s">
        <v>40</v>
      </c>
      <c r="G59" s="1" t="s">
        <v>44</v>
      </c>
      <c r="H59" s="6" t="str">
        <f>HYPERLINK("https://www.bioscidb.com/browse/deal_bg/10987","Deal")</f>
        <v>Deal</v>
      </c>
      <c r="I59" s="4">
        <v>0.25</v>
      </c>
      <c r="J59" s="4">
        <v>26.5</v>
      </c>
      <c r="K59" s="4">
        <v>8</v>
      </c>
      <c r="L59" s="4" t="s">
        <v>40</v>
      </c>
      <c r="M59" s="4">
        <v>8</v>
      </c>
      <c r="N59" s="11" t="s">
        <v>643</v>
      </c>
      <c r="O59" s="1" t="s">
        <v>60</v>
      </c>
      <c r="P59" s="11" t="s">
        <v>642</v>
      </c>
      <c r="Q59" s="1" t="s">
        <v>42</v>
      </c>
      <c r="R59" s="11" t="s">
        <v>156</v>
      </c>
      <c r="S59" s="11" t="s">
        <v>552</v>
      </c>
      <c r="T59" s="11" t="s">
        <v>553</v>
      </c>
      <c r="U59" s="1" t="s">
        <v>63</v>
      </c>
      <c r="V59" s="1" t="s">
        <v>644</v>
      </c>
      <c r="W59" s="4" t="s">
        <v>40</v>
      </c>
      <c r="X59" s="4" t="s">
        <v>40</v>
      </c>
      <c r="Y59" s="4">
        <v>6</v>
      </c>
      <c r="Z59" s="4" t="s">
        <v>40</v>
      </c>
      <c r="AA59" s="4" t="s">
        <v>40</v>
      </c>
      <c r="AB59" s="4">
        <v>7.13</v>
      </c>
      <c r="AC59" s="4">
        <v>13.13</v>
      </c>
      <c r="AD59" s="4">
        <v>26.5</v>
      </c>
      <c r="AE59" s="4" t="s">
        <v>40</v>
      </c>
      <c r="AF59" s="4">
        <v>7.000000000000001</v>
      </c>
      <c r="AG59" s="4">
        <v>8</v>
      </c>
      <c r="AH59" s="4">
        <v>8</v>
      </c>
      <c r="AI59" s="4" t="s">
        <v>40</v>
      </c>
      <c r="AJ59" s="4" t="s">
        <v>40</v>
      </c>
      <c r="AK59" s="4" t="s">
        <v>40</v>
      </c>
      <c r="AL59" s="4" t="s">
        <v>40</v>
      </c>
      <c r="AM59" s="1" t="s">
        <v>645</v>
      </c>
    </row>
    <row r="60" spans="1:39" ht="25.5">
      <c r="A60" s="6" t="str">
        <f>HYPERLINK("https://www.bioscidb.com/tag/gettag/065dd928-dcc2-4667-b8b0-18522e96670d","Tag")</f>
        <v>Tag</v>
      </c>
      <c r="B60" s="15" t="s">
        <v>827</v>
      </c>
      <c r="C60" s="3" t="s">
        <v>246</v>
      </c>
      <c r="D60" s="11" t="s">
        <v>244</v>
      </c>
      <c r="E60" s="11" t="s">
        <v>245</v>
      </c>
      <c r="F60" s="11" t="s">
        <v>255</v>
      </c>
      <c r="G60" s="1" t="s">
        <v>44</v>
      </c>
      <c r="H60" s="6" t="str">
        <f>HYPERLINK("https://www.bioscidb.com/browse/deal_bg/5056","Deal")</f>
        <v>Deal</v>
      </c>
      <c r="I60" s="4">
        <v>18</v>
      </c>
      <c r="J60" s="4">
        <v>303.7</v>
      </c>
      <c r="K60" s="4">
        <v>25</v>
      </c>
      <c r="L60" s="4" t="s">
        <v>40</v>
      </c>
      <c r="M60" s="4">
        <v>5</v>
      </c>
      <c r="N60" s="11" t="s">
        <v>248</v>
      </c>
      <c r="O60" s="1" t="s">
        <v>249</v>
      </c>
      <c r="P60" s="11" t="s">
        <v>247</v>
      </c>
      <c r="Q60" s="1" t="s">
        <v>42</v>
      </c>
      <c r="R60" s="11" t="s">
        <v>156</v>
      </c>
      <c r="S60" s="11" t="s">
        <v>250</v>
      </c>
      <c r="T60" s="11" t="s">
        <v>251</v>
      </c>
      <c r="U60" s="1" t="s">
        <v>252</v>
      </c>
      <c r="V60" s="1" t="s">
        <v>40</v>
      </c>
      <c r="W60" s="4" t="s">
        <v>40</v>
      </c>
      <c r="X60" s="4" t="s">
        <v>40</v>
      </c>
      <c r="Y60" s="4">
        <v>30.7</v>
      </c>
      <c r="Z60" s="4" t="s">
        <v>40</v>
      </c>
      <c r="AA60" s="4" t="s">
        <v>40</v>
      </c>
      <c r="AB60" s="4">
        <v>25</v>
      </c>
      <c r="AC60" s="4">
        <v>30</v>
      </c>
      <c r="AD60" s="4">
        <v>103.7</v>
      </c>
      <c r="AE60" s="4">
        <v>200</v>
      </c>
      <c r="AF60" s="4" t="s">
        <v>40</v>
      </c>
      <c r="AG60" s="4" t="s">
        <v>40</v>
      </c>
      <c r="AH60" s="4" t="s">
        <v>40</v>
      </c>
      <c r="AI60" s="4" t="s">
        <v>40</v>
      </c>
      <c r="AJ60" s="4">
        <v>20</v>
      </c>
      <c r="AK60" s="4" t="s">
        <v>40</v>
      </c>
      <c r="AL60" s="4" t="s">
        <v>40</v>
      </c>
      <c r="AM60" s="1" t="s">
        <v>254</v>
      </c>
    </row>
    <row r="61" spans="1:39" ht="25.5">
      <c r="A61" s="6" t="str">
        <f>HYPERLINK("https://www.bioscidb.com/tag/gettag/7b603de3-84c7-48b8-be14-4a5b773dd7b4","Tag")</f>
        <v>Tag</v>
      </c>
      <c r="B61" s="15" t="s">
        <v>827</v>
      </c>
      <c r="C61" s="3" t="s">
        <v>391</v>
      </c>
      <c r="D61" s="11" t="s">
        <v>191</v>
      </c>
      <c r="E61" s="11" t="s">
        <v>75</v>
      </c>
      <c r="F61" s="11" t="s">
        <v>85</v>
      </c>
      <c r="G61" s="1" t="s">
        <v>44</v>
      </c>
      <c r="H61" s="6" t="str">
        <f>HYPERLINK("https://www.bioscidb.com/browse/deal_bg/7113","Deal")</f>
        <v>Deal</v>
      </c>
      <c r="I61" s="4">
        <v>20</v>
      </c>
      <c r="J61" s="4">
        <v>455</v>
      </c>
      <c r="K61" s="4" t="s">
        <v>40</v>
      </c>
      <c r="L61" s="4">
        <v>10</v>
      </c>
      <c r="M61" s="4">
        <v>8</v>
      </c>
      <c r="N61" s="11" t="s">
        <v>275</v>
      </c>
      <c r="O61" s="1" t="s">
        <v>110</v>
      </c>
      <c r="P61" s="11" t="s">
        <v>770</v>
      </c>
      <c r="Q61" s="1" t="s">
        <v>42</v>
      </c>
      <c r="R61" s="11" t="s">
        <v>68</v>
      </c>
      <c r="S61" s="11" t="s">
        <v>771</v>
      </c>
      <c r="T61" s="11" t="s">
        <v>772</v>
      </c>
      <c r="U61" s="1" t="s">
        <v>773</v>
      </c>
      <c r="V61" s="1" t="s">
        <v>774</v>
      </c>
      <c r="W61" s="4">
        <v>10</v>
      </c>
      <c r="X61" s="4" t="s">
        <v>40</v>
      </c>
      <c r="Y61" s="4">
        <v>5</v>
      </c>
      <c r="Z61" s="4" t="s">
        <v>40</v>
      </c>
      <c r="AA61" s="4" t="s">
        <v>40</v>
      </c>
      <c r="AB61" s="4">
        <v>60</v>
      </c>
      <c r="AC61" s="4">
        <v>185</v>
      </c>
      <c r="AD61" s="4">
        <v>280</v>
      </c>
      <c r="AE61" s="4" t="s">
        <v>40</v>
      </c>
      <c r="AF61" s="4">
        <v>5</v>
      </c>
      <c r="AG61" s="4">
        <v>5</v>
      </c>
      <c r="AH61" s="4">
        <v>6</v>
      </c>
      <c r="AI61" s="4" t="s">
        <v>40</v>
      </c>
      <c r="AJ61" s="4" t="s">
        <v>40</v>
      </c>
      <c r="AK61" s="4" t="s">
        <v>40</v>
      </c>
      <c r="AL61" s="4" t="s">
        <v>40</v>
      </c>
      <c r="AM61" s="1" t="s">
        <v>775</v>
      </c>
    </row>
    <row r="62" spans="1:39" ht="12.75">
      <c r="A62" s="6" t="str">
        <f>HYPERLINK("https://www.bioscidb.com/tag/gettag/a6db2221-cbdb-4e00-85b3-61c20d67d6a5","Tag")</f>
        <v>Tag</v>
      </c>
      <c r="B62" s="15" t="s">
        <v>827</v>
      </c>
      <c r="C62" s="3" t="s">
        <v>391</v>
      </c>
      <c r="D62" s="11" t="s">
        <v>390</v>
      </c>
      <c r="E62" s="11" t="s">
        <v>239</v>
      </c>
      <c r="F62" s="11" t="s">
        <v>128</v>
      </c>
      <c r="G62" s="1" t="s">
        <v>44</v>
      </c>
      <c r="H62" s="6" t="str">
        <f>HYPERLINK("https://www.bioscidb.com/browse/deal_bg/17512","Deal")</f>
        <v>Deal</v>
      </c>
      <c r="I62" s="4">
        <v>0.01</v>
      </c>
      <c r="J62" s="4">
        <v>6</v>
      </c>
      <c r="K62" s="4">
        <v>3</v>
      </c>
      <c r="L62" s="4" t="s">
        <v>40</v>
      </c>
      <c r="M62" s="4">
        <v>3</v>
      </c>
      <c r="N62" s="11" t="s">
        <v>43</v>
      </c>
      <c r="O62" s="1" t="s">
        <v>45</v>
      </c>
      <c r="P62" s="11" t="s">
        <v>392</v>
      </c>
      <c r="Q62" s="1" t="s">
        <v>42</v>
      </c>
      <c r="R62" s="11" t="s">
        <v>68</v>
      </c>
      <c r="S62" s="11" t="s">
        <v>393</v>
      </c>
      <c r="T62" s="11" t="s">
        <v>40</v>
      </c>
      <c r="U62" s="1" t="s">
        <v>394</v>
      </c>
      <c r="V62" s="1" t="s">
        <v>40</v>
      </c>
      <c r="W62" s="4" t="s">
        <v>40</v>
      </c>
      <c r="X62" s="4" t="s">
        <v>40</v>
      </c>
      <c r="Y62" s="4" t="s">
        <v>40</v>
      </c>
      <c r="Z62" s="4" t="s">
        <v>40</v>
      </c>
      <c r="AA62" s="4" t="s">
        <v>40</v>
      </c>
      <c r="AB62" s="4">
        <v>5.95</v>
      </c>
      <c r="AC62" s="4" t="s">
        <v>40</v>
      </c>
      <c r="AD62" s="4">
        <v>6</v>
      </c>
      <c r="AE62" s="4" t="s">
        <v>40</v>
      </c>
      <c r="AF62" s="4">
        <v>3</v>
      </c>
      <c r="AG62" s="4">
        <v>3</v>
      </c>
      <c r="AH62" s="4">
        <v>3</v>
      </c>
      <c r="AI62" s="4" t="s">
        <v>40</v>
      </c>
      <c r="AJ62" s="4" t="s">
        <v>40</v>
      </c>
      <c r="AK62" s="4" t="s">
        <v>40</v>
      </c>
      <c r="AL62" s="4" t="s">
        <v>40</v>
      </c>
      <c r="AM62" s="1" t="s">
        <v>40</v>
      </c>
    </row>
    <row r="63" spans="1:39" ht="25.5">
      <c r="A63" s="6" t="str">
        <f>HYPERLINK("https://www.bioscidb.com/tag/gettag/8de4eea2-ff08-4170-9971-06b02f6ea1f4","Tag")</f>
        <v>Tag</v>
      </c>
      <c r="B63" s="15" t="s">
        <v>827</v>
      </c>
      <c r="C63" s="3" t="s">
        <v>39</v>
      </c>
      <c r="D63" s="11" t="s">
        <v>646</v>
      </c>
      <c r="E63" s="11" t="s">
        <v>208</v>
      </c>
      <c r="F63" s="11" t="s">
        <v>85</v>
      </c>
      <c r="G63" s="1" t="s">
        <v>44</v>
      </c>
      <c r="H63" s="6" t="str">
        <f>HYPERLINK("https://www.bioscidb.com/browse/deal_bg/3165","Deal")</f>
        <v>Deal</v>
      </c>
      <c r="I63" s="4">
        <v>60</v>
      </c>
      <c r="J63" s="4">
        <v>560</v>
      </c>
      <c r="K63" s="4">
        <v>19</v>
      </c>
      <c r="L63" s="4" t="s">
        <v>40</v>
      </c>
      <c r="M63" s="4">
        <v>19</v>
      </c>
      <c r="N63" s="11" t="s">
        <v>648</v>
      </c>
      <c r="O63" s="1" t="s">
        <v>132</v>
      </c>
      <c r="P63" s="11" t="s">
        <v>647</v>
      </c>
      <c r="Q63" s="1" t="s">
        <v>42</v>
      </c>
      <c r="R63" s="11" t="s">
        <v>68</v>
      </c>
      <c r="S63" s="11" t="s">
        <v>101</v>
      </c>
      <c r="T63" s="11" t="s">
        <v>102</v>
      </c>
      <c r="U63" s="1" t="s">
        <v>394</v>
      </c>
      <c r="V63" s="1" t="s">
        <v>40</v>
      </c>
      <c r="W63" s="4" t="s">
        <v>40</v>
      </c>
      <c r="X63" s="4" t="s">
        <v>40</v>
      </c>
      <c r="Y63" s="4" t="s">
        <v>40</v>
      </c>
      <c r="Z63" s="4" t="s">
        <v>40</v>
      </c>
      <c r="AA63" s="4" t="s">
        <v>40</v>
      </c>
      <c r="AB63" s="4">
        <v>250</v>
      </c>
      <c r="AC63" s="4" t="s">
        <v>40</v>
      </c>
      <c r="AD63" s="4">
        <v>310</v>
      </c>
      <c r="AE63" s="4">
        <v>240</v>
      </c>
      <c r="AF63" s="4">
        <v>14.000000000000002</v>
      </c>
      <c r="AG63" s="4">
        <v>15</v>
      </c>
      <c r="AH63" s="4">
        <v>17</v>
      </c>
      <c r="AI63" s="4" t="s">
        <v>40</v>
      </c>
      <c r="AJ63" s="4" t="s">
        <v>40</v>
      </c>
      <c r="AK63" s="4" t="s">
        <v>40</v>
      </c>
      <c r="AL63" s="4">
        <v>50</v>
      </c>
      <c r="AM63" s="1" t="s">
        <v>40</v>
      </c>
    </row>
    <row r="64" spans="1:39" ht="40.5" customHeight="1">
      <c r="A64" s="6" t="str">
        <f>HYPERLINK("https://www.bioscidb.com/tag/gettag/6853680b-2b8e-4ffb-aeb3-a1c087b7e02c","Tag")</f>
        <v>Tag</v>
      </c>
      <c r="B64" s="11" t="s">
        <v>856</v>
      </c>
      <c r="C64" s="3" t="s">
        <v>39</v>
      </c>
      <c r="D64" s="11" t="s">
        <v>96</v>
      </c>
      <c r="E64" s="11" t="s">
        <v>649</v>
      </c>
      <c r="F64" s="11" t="s">
        <v>505</v>
      </c>
      <c r="G64" s="1" t="s">
        <v>44</v>
      </c>
      <c r="H64" s="6" t="str">
        <f>HYPERLINK("https://www.bioscidb.com/browse/deal_bg/392","Deal")</f>
        <v>Deal</v>
      </c>
      <c r="I64" s="4">
        <v>2</v>
      </c>
      <c r="J64" s="4">
        <v>68.8</v>
      </c>
      <c r="K64" s="4">
        <v>9</v>
      </c>
      <c r="L64" s="4" t="s">
        <v>40</v>
      </c>
      <c r="M64" s="4">
        <v>9</v>
      </c>
      <c r="N64" s="11" t="s">
        <v>651</v>
      </c>
      <c r="O64" s="1" t="s">
        <v>110</v>
      </c>
      <c r="P64" s="11" t="s">
        <v>650</v>
      </c>
      <c r="Q64" s="1" t="s">
        <v>42</v>
      </c>
      <c r="R64" s="11" t="s">
        <v>68</v>
      </c>
      <c r="S64" s="11" t="s">
        <v>101</v>
      </c>
      <c r="T64" s="11" t="s">
        <v>102</v>
      </c>
      <c r="U64" s="1" t="s">
        <v>103</v>
      </c>
      <c r="V64" s="1" t="s">
        <v>104</v>
      </c>
      <c r="W64" s="4" t="s">
        <v>40</v>
      </c>
      <c r="X64" s="4" t="s">
        <v>40</v>
      </c>
      <c r="Y64" s="4">
        <v>3.3</v>
      </c>
      <c r="Z64" s="4">
        <v>0.28</v>
      </c>
      <c r="AA64" s="4" t="s">
        <v>40</v>
      </c>
      <c r="AB64" s="4">
        <v>63.5</v>
      </c>
      <c r="AC64" s="4" t="s">
        <v>40</v>
      </c>
      <c r="AD64" s="4">
        <v>68.8</v>
      </c>
      <c r="AE64" s="4" t="s">
        <v>40</v>
      </c>
      <c r="AF64" s="4">
        <v>6</v>
      </c>
      <c r="AG64" s="4">
        <v>7.000000000000001</v>
      </c>
      <c r="AH64" s="4">
        <v>8</v>
      </c>
      <c r="AI64" s="4" t="s">
        <v>40</v>
      </c>
      <c r="AJ64" s="4" t="s">
        <v>40</v>
      </c>
      <c r="AK64" s="4" t="s">
        <v>40</v>
      </c>
      <c r="AL64" s="4" t="s">
        <v>40</v>
      </c>
      <c r="AM64" s="1" t="s">
        <v>40</v>
      </c>
    </row>
    <row r="65" spans="1:39" ht="25.5">
      <c r="A65" s="6" t="str">
        <f>HYPERLINK("https://www.bioscidb.com/tag/gettag/f472cf70-8533-4362-a46c-064f94a2bc0f","Tag")</f>
        <v>Tag</v>
      </c>
      <c r="B65" s="15" t="s">
        <v>827</v>
      </c>
      <c r="C65" s="3" t="s">
        <v>39</v>
      </c>
      <c r="D65" s="11" t="s">
        <v>37</v>
      </c>
      <c r="E65" s="11" t="s">
        <v>38</v>
      </c>
      <c r="F65" s="11" t="s">
        <v>52</v>
      </c>
      <c r="G65" s="1" t="s">
        <v>44</v>
      </c>
      <c r="H65" s="6" t="str">
        <f>HYPERLINK("https://www.bioscidb.com/browse/deal_bg/13708","Deal")</f>
        <v>Deal</v>
      </c>
      <c r="I65" s="4">
        <v>0.4</v>
      </c>
      <c r="J65" s="4">
        <v>9.05</v>
      </c>
      <c r="K65" s="4">
        <v>9</v>
      </c>
      <c r="L65" s="4" t="s">
        <v>40</v>
      </c>
      <c r="M65" s="4">
        <v>9</v>
      </c>
      <c r="N65" s="11" t="s">
        <v>43</v>
      </c>
      <c r="O65" s="1" t="s">
        <v>45</v>
      </c>
      <c r="P65" s="11" t="s">
        <v>41</v>
      </c>
      <c r="Q65" s="1" t="s">
        <v>42</v>
      </c>
      <c r="R65" s="11" t="s">
        <v>53</v>
      </c>
      <c r="S65" s="11" t="s">
        <v>46</v>
      </c>
      <c r="T65" s="11" t="s">
        <v>47</v>
      </c>
      <c r="U65" s="1" t="s">
        <v>48</v>
      </c>
      <c r="V65" s="1" t="s">
        <v>49</v>
      </c>
      <c r="W65" s="4" t="s">
        <v>40</v>
      </c>
      <c r="X65" s="4" t="s">
        <v>40</v>
      </c>
      <c r="Y65" s="4" t="s">
        <v>40</v>
      </c>
      <c r="Z65" s="4" t="s">
        <v>40</v>
      </c>
      <c r="AA65" s="4" t="s">
        <v>40</v>
      </c>
      <c r="AB65" s="4">
        <v>8.65</v>
      </c>
      <c r="AC65" s="4" t="s">
        <v>40</v>
      </c>
      <c r="AD65" s="4">
        <v>9.05</v>
      </c>
      <c r="AE65" s="4" t="s">
        <v>40</v>
      </c>
      <c r="AF65" s="4">
        <v>5</v>
      </c>
      <c r="AG65" s="4">
        <v>7.000000000000001</v>
      </c>
      <c r="AH65" s="4">
        <v>8</v>
      </c>
      <c r="AI65" s="4" t="s">
        <v>40</v>
      </c>
      <c r="AJ65" s="4" t="s">
        <v>40</v>
      </c>
      <c r="AK65" s="4" t="s">
        <v>40</v>
      </c>
      <c r="AL65" s="4" t="s">
        <v>40</v>
      </c>
      <c r="AM65" s="1" t="s">
        <v>50</v>
      </c>
    </row>
    <row r="66" spans="1:39" ht="25.5">
      <c r="A66" s="6" t="str">
        <f>HYPERLINK("https://www.bioscidb.com/tag/gettag/2b15ad61-eec4-49a9-a251-78461e1e2bb5","Tag")</f>
        <v>Tag</v>
      </c>
      <c r="B66" s="15" t="s">
        <v>827</v>
      </c>
      <c r="C66" s="3" t="s">
        <v>39</v>
      </c>
      <c r="D66" s="11" t="s">
        <v>37</v>
      </c>
      <c r="E66" s="11" t="s">
        <v>38</v>
      </c>
      <c r="F66" s="11" t="s">
        <v>52</v>
      </c>
      <c r="G66" s="1" t="s">
        <v>44</v>
      </c>
      <c r="H66" s="6" t="str">
        <f>HYPERLINK("https://www.bioscidb.com/browse/deal_bg/13707","Deal")</f>
        <v>Deal</v>
      </c>
      <c r="I66" s="4">
        <v>0.4</v>
      </c>
      <c r="J66" s="4">
        <v>9.05</v>
      </c>
      <c r="K66" s="4">
        <v>9</v>
      </c>
      <c r="L66" s="4" t="s">
        <v>40</v>
      </c>
      <c r="M66" s="4">
        <v>9</v>
      </c>
      <c r="N66" s="11" t="s">
        <v>43</v>
      </c>
      <c r="O66" s="1" t="s">
        <v>45</v>
      </c>
      <c r="P66" s="11" t="s">
        <v>776</v>
      </c>
      <c r="Q66" s="1" t="s">
        <v>42</v>
      </c>
      <c r="R66" s="11" t="s">
        <v>53</v>
      </c>
      <c r="S66" s="11" t="s">
        <v>46</v>
      </c>
      <c r="T66" s="11" t="s">
        <v>47</v>
      </c>
      <c r="U66" s="1" t="s">
        <v>48</v>
      </c>
      <c r="V66" s="1" t="s">
        <v>49</v>
      </c>
      <c r="W66" s="4" t="s">
        <v>40</v>
      </c>
      <c r="X66" s="4" t="s">
        <v>40</v>
      </c>
      <c r="Y66" s="4" t="s">
        <v>40</v>
      </c>
      <c r="Z66" s="4" t="s">
        <v>40</v>
      </c>
      <c r="AA66" s="4" t="s">
        <v>40</v>
      </c>
      <c r="AB66" s="4">
        <v>8.65</v>
      </c>
      <c r="AC66" s="4" t="s">
        <v>40</v>
      </c>
      <c r="AD66" s="4">
        <v>9.05</v>
      </c>
      <c r="AE66" s="4" t="s">
        <v>40</v>
      </c>
      <c r="AF66" s="4">
        <v>5</v>
      </c>
      <c r="AG66" s="4">
        <v>7.000000000000001</v>
      </c>
      <c r="AH66" s="4">
        <v>8</v>
      </c>
      <c r="AI66" s="4" t="s">
        <v>40</v>
      </c>
      <c r="AJ66" s="4" t="s">
        <v>40</v>
      </c>
      <c r="AK66" s="4" t="s">
        <v>40</v>
      </c>
      <c r="AL66" s="4" t="s">
        <v>40</v>
      </c>
      <c r="AM66" s="1" t="s">
        <v>777</v>
      </c>
    </row>
    <row r="67" spans="1:39" ht="25.5">
      <c r="A67" s="6" t="str">
        <f>HYPERLINK("https://www.bioscidb.com/tag/gettag/16c0bdfd-e212-4d84-9be2-8334b2ad11a9","Tag")</f>
        <v>Tag</v>
      </c>
      <c r="B67" s="15" t="s">
        <v>827</v>
      </c>
      <c r="C67" s="3" t="s">
        <v>653</v>
      </c>
      <c r="D67" s="11" t="s">
        <v>652</v>
      </c>
      <c r="E67" s="11" t="s">
        <v>541</v>
      </c>
      <c r="F67" s="11" t="s">
        <v>255</v>
      </c>
      <c r="G67" s="1" t="s">
        <v>44</v>
      </c>
      <c r="H67" s="6" t="str">
        <f>HYPERLINK("https://www.bioscidb.com/browse/deal_bg/692","Deal")</f>
        <v>Deal</v>
      </c>
      <c r="I67" s="4">
        <v>0.1</v>
      </c>
      <c r="J67" s="4">
        <v>23.2</v>
      </c>
      <c r="K67" s="4">
        <v>5</v>
      </c>
      <c r="L67" s="4" t="s">
        <v>40</v>
      </c>
      <c r="M67" s="4">
        <v>5</v>
      </c>
      <c r="N67" s="11" t="s">
        <v>197</v>
      </c>
      <c r="O67" s="1" t="s">
        <v>655</v>
      </c>
      <c r="P67" s="11" t="s">
        <v>654</v>
      </c>
      <c r="Q67" s="1" t="s">
        <v>42</v>
      </c>
      <c r="R67" s="11" t="s">
        <v>68</v>
      </c>
      <c r="S67" s="11" t="s">
        <v>146</v>
      </c>
      <c r="T67" s="11" t="s">
        <v>570</v>
      </c>
      <c r="U67" s="1" t="s">
        <v>63</v>
      </c>
      <c r="V67" s="1" t="s">
        <v>628</v>
      </c>
      <c r="W67" s="4" t="s">
        <v>40</v>
      </c>
      <c r="X67" s="4" t="s">
        <v>40</v>
      </c>
      <c r="Y67" s="4">
        <v>1.58</v>
      </c>
      <c r="Z67" s="4" t="s">
        <v>40</v>
      </c>
      <c r="AA67" s="4" t="s">
        <v>40</v>
      </c>
      <c r="AB67" s="4">
        <v>5</v>
      </c>
      <c r="AC67" s="4" t="s">
        <v>40</v>
      </c>
      <c r="AD67" s="4">
        <v>6.68</v>
      </c>
      <c r="AE67" s="4">
        <v>14</v>
      </c>
      <c r="AF67" s="4">
        <v>5</v>
      </c>
      <c r="AG67" s="4">
        <v>5</v>
      </c>
      <c r="AH67" s="4">
        <v>5</v>
      </c>
      <c r="AI67" s="4" t="s">
        <v>40</v>
      </c>
      <c r="AJ67" s="4" t="s">
        <v>40</v>
      </c>
      <c r="AK67" s="4" t="s">
        <v>40</v>
      </c>
      <c r="AL67" s="4" t="s">
        <v>40</v>
      </c>
      <c r="AM67" s="1" t="s">
        <v>40</v>
      </c>
    </row>
    <row r="68" spans="1:39" ht="38.25">
      <c r="A68" s="6" t="str">
        <f>HYPERLINK("https://www.bioscidb.com/tag/gettag/59061b5a-98d9-453e-b154-d433f0e9b93a","Tag")</f>
        <v>Tag</v>
      </c>
      <c r="B68" s="15" t="s">
        <v>827</v>
      </c>
      <c r="C68" s="3" t="s">
        <v>396</v>
      </c>
      <c r="D68" s="11" t="s">
        <v>395</v>
      </c>
      <c r="E68" s="11" t="s">
        <v>75</v>
      </c>
      <c r="F68" s="11" t="s">
        <v>85</v>
      </c>
      <c r="G68" s="1" t="s">
        <v>44</v>
      </c>
      <c r="H68" s="6" t="str">
        <f>HYPERLINK("https://www.bioscidb.com/browse/deal_bg/11338","Deal")</f>
        <v>Deal</v>
      </c>
      <c r="I68" s="4" t="s">
        <v>40</v>
      </c>
      <c r="J68" s="4">
        <v>84.5</v>
      </c>
      <c r="K68" s="4">
        <v>50</v>
      </c>
      <c r="L68" s="4" t="s">
        <v>40</v>
      </c>
      <c r="M68" s="4">
        <v>15</v>
      </c>
      <c r="N68" s="11" t="s">
        <v>398</v>
      </c>
      <c r="O68" s="1" t="s">
        <v>110</v>
      </c>
      <c r="P68" s="11" t="s">
        <v>397</v>
      </c>
      <c r="Q68" s="1" t="s">
        <v>42</v>
      </c>
      <c r="R68" s="11" t="s">
        <v>68</v>
      </c>
      <c r="S68" s="11" t="s">
        <v>393</v>
      </c>
      <c r="T68" s="11" t="s">
        <v>40</v>
      </c>
      <c r="U68" s="1" t="s">
        <v>166</v>
      </c>
      <c r="V68" s="1" t="s">
        <v>213</v>
      </c>
      <c r="W68" s="4" t="s">
        <v>40</v>
      </c>
      <c r="X68" s="4" t="s">
        <v>40</v>
      </c>
      <c r="Y68" s="4" t="s">
        <v>40</v>
      </c>
      <c r="Z68" s="4">
        <v>0.49</v>
      </c>
      <c r="AA68" s="4" t="s">
        <v>40</v>
      </c>
      <c r="AB68" s="4">
        <v>41</v>
      </c>
      <c r="AC68" s="4">
        <v>43.5</v>
      </c>
      <c r="AD68" s="4">
        <v>84.5</v>
      </c>
      <c r="AE68" s="4" t="s">
        <v>40</v>
      </c>
      <c r="AF68" s="4">
        <v>10</v>
      </c>
      <c r="AG68" s="4">
        <v>12</v>
      </c>
      <c r="AH68" s="4">
        <v>13</v>
      </c>
      <c r="AI68" s="4" t="s">
        <v>40</v>
      </c>
      <c r="AJ68" s="4" t="s">
        <v>40</v>
      </c>
      <c r="AK68" s="4" t="s">
        <v>40</v>
      </c>
      <c r="AL68" s="4">
        <v>50</v>
      </c>
      <c r="AM68" s="1" t="s">
        <v>399</v>
      </c>
    </row>
    <row r="69" spans="1:39" ht="51">
      <c r="A69" s="6" t="str">
        <f>HYPERLINK("https://www.bioscidb.com/tag/gettag/3a96b85b-a1cb-4365-9f96-d1439f8bfd13","Tag")</f>
        <v>Tag</v>
      </c>
      <c r="B69" s="11" t="s">
        <v>857</v>
      </c>
      <c r="C69" s="3" t="s">
        <v>662</v>
      </c>
      <c r="D69" s="11" t="s">
        <v>54</v>
      </c>
      <c r="E69" s="11" t="s">
        <v>778</v>
      </c>
      <c r="F69" s="11" t="s">
        <v>681</v>
      </c>
      <c r="G69" s="1" t="s">
        <v>44</v>
      </c>
      <c r="H69" s="6" t="str">
        <f>HYPERLINK("https://www.bioscidb.com/browse/deal_bg/9045","Deal")</f>
        <v>Deal</v>
      </c>
      <c r="I69" s="4" t="s">
        <v>40</v>
      </c>
      <c r="J69" s="4">
        <v>89</v>
      </c>
      <c r="K69" s="4">
        <v>9</v>
      </c>
      <c r="L69" s="4" t="s">
        <v>40</v>
      </c>
      <c r="M69" s="4">
        <v>9</v>
      </c>
      <c r="N69" s="11" t="s">
        <v>253</v>
      </c>
      <c r="O69" s="1" t="s">
        <v>655</v>
      </c>
      <c r="P69" s="11" t="s">
        <v>779</v>
      </c>
      <c r="Q69" s="1" t="s">
        <v>42</v>
      </c>
      <c r="R69" s="11" t="s">
        <v>68</v>
      </c>
      <c r="S69" s="11" t="s">
        <v>81</v>
      </c>
      <c r="T69" s="11" t="s">
        <v>242</v>
      </c>
      <c r="U69" s="1" t="s">
        <v>63</v>
      </c>
      <c r="V69" s="1" t="s">
        <v>64</v>
      </c>
      <c r="W69" s="4" t="s">
        <v>40</v>
      </c>
      <c r="X69" s="4" t="s">
        <v>40</v>
      </c>
      <c r="Y69" s="4" t="s">
        <v>40</v>
      </c>
      <c r="Z69" s="4">
        <v>0.35</v>
      </c>
      <c r="AA69" s="4" t="s">
        <v>40</v>
      </c>
      <c r="AB69" s="4">
        <v>24</v>
      </c>
      <c r="AC69" s="4" t="s">
        <v>40</v>
      </c>
      <c r="AD69" s="4">
        <v>24</v>
      </c>
      <c r="AE69" s="4">
        <v>65</v>
      </c>
      <c r="AF69" s="4">
        <v>7.000000000000001</v>
      </c>
      <c r="AG69" s="4">
        <v>9</v>
      </c>
      <c r="AH69" s="4">
        <v>9</v>
      </c>
      <c r="AI69" s="4" t="s">
        <v>40</v>
      </c>
      <c r="AJ69" s="4" t="s">
        <v>40</v>
      </c>
      <c r="AK69" s="4">
        <v>15</v>
      </c>
      <c r="AL69" s="4" t="s">
        <v>40</v>
      </c>
      <c r="AM69" s="1" t="s">
        <v>40</v>
      </c>
    </row>
    <row r="70" spans="1:39" ht="12.75">
      <c r="A70" s="6" t="str">
        <f>HYPERLINK("https://www.bioscidb.com/tag/gettag/2b2dc2e4-0eb4-4fe4-8c9a-1546eae4a57e","Tag")</f>
        <v>Tag</v>
      </c>
      <c r="B70" s="15" t="s">
        <v>827</v>
      </c>
      <c r="C70" s="3" t="s">
        <v>662</v>
      </c>
      <c r="D70" s="11" t="s">
        <v>660</v>
      </c>
      <c r="E70" s="11" t="s">
        <v>661</v>
      </c>
      <c r="F70" s="11" t="s">
        <v>40</v>
      </c>
      <c r="G70" s="1" t="s">
        <v>44</v>
      </c>
      <c r="H70" s="6" t="str">
        <f>HYPERLINK("https://www.bioscidb.com/browse/deal_bg/10816","Deal")</f>
        <v>Deal</v>
      </c>
      <c r="I70" s="4">
        <v>1.3</v>
      </c>
      <c r="J70" s="4">
        <v>1.3</v>
      </c>
      <c r="K70" s="4">
        <v>2</v>
      </c>
      <c r="L70" s="4" t="s">
        <v>40</v>
      </c>
      <c r="M70" s="4">
        <v>2</v>
      </c>
      <c r="N70" s="11" t="s">
        <v>197</v>
      </c>
      <c r="O70" s="1" t="s">
        <v>40</v>
      </c>
      <c r="P70" s="11" t="s">
        <v>663</v>
      </c>
      <c r="Q70" s="1" t="s">
        <v>42</v>
      </c>
      <c r="R70" s="11" t="s">
        <v>68</v>
      </c>
      <c r="S70" s="11" t="s">
        <v>322</v>
      </c>
      <c r="T70" s="11" t="s">
        <v>664</v>
      </c>
      <c r="U70" s="1" t="s">
        <v>63</v>
      </c>
      <c r="V70" s="1" t="s">
        <v>638</v>
      </c>
      <c r="W70" s="4" t="s">
        <v>40</v>
      </c>
      <c r="X70" s="4" t="s">
        <v>40</v>
      </c>
      <c r="Y70" s="4" t="s">
        <v>40</v>
      </c>
      <c r="Z70" s="4" t="s">
        <v>40</v>
      </c>
      <c r="AA70" s="4" t="s">
        <v>40</v>
      </c>
      <c r="AB70" s="4" t="s">
        <v>40</v>
      </c>
      <c r="AC70" s="4" t="s">
        <v>40</v>
      </c>
      <c r="AD70" s="4">
        <v>1.3</v>
      </c>
      <c r="AE70" s="4" t="s">
        <v>40</v>
      </c>
      <c r="AF70" s="4">
        <v>2</v>
      </c>
      <c r="AG70" s="4">
        <v>2</v>
      </c>
      <c r="AH70" s="4">
        <v>2</v>
      </c>
      <c r="AI70" s="4" t="s">
        <v>40</v>
      </c>
      <c r="AJ70" s="4" t="s">
        <v>40</v>
      </c>
      <c r="AK70" s="4" t="s">
        <v>40</v>
      </c>
      <c r="AL70" s="4" t="s">
        <v>40</v>
      </c>
      <c r="AM70" s="1" t="s">
        <v>40</v>
      </c>
    </row>
    <row r="71" spans="1:39" ht="25.5">
      <c r="A71" s="6" t="str">
        <f>HYPERLINK("https://www.bioscidb.com/tag/gettag/b364244e-997c-4061-9e48-a08668d6b8c9","Tag")</f>
        <v>Tag</v>
      </c>
      <c r="B71" s="15" t="s">
        <v>827</v>
      </c>
      <c r="C71" s="3" t="s">
        <v>402</v>
      </c>
      <c r="D71" s="11" t="s">
        <v>400</v>
      </c>
      <c r="E71" s="11" t="s">
        <v>401</v>
      </c>
      <c r="F71" s="11" t="s">
        <v>67</v>
      </c>
      <c r="G71" s="1" t="s">
        <v>44</v>
      </c>
      <c r="H71" s="6" t="str">
        <f>HYPERLINK("https://www.bioscidb.com/browse/deal_bg/2631","Deal")</f>
        <v>Deal</v>
      </c>
      <c r="I71" s="4">
        <v>0.1</v>
      </c>
      <c r="J71" s="4">
        <v>4.35</v>
      </c>
      <c r="K71" s="4">
        <v>5</v>
      </c>
      <c r="L71" s="4">
        <v>0.25</v>
      </c>
      <c r="M71" s="4">
        <v>5</v>
      </c>
      <c r="N71" s="11" t="s">
        <v>404</v>
      </c>
      <c r="O71" s="1" t="s">
        <v>405</v>
      </c>
      <c r="P71" s="11" t="s">
        <v>403</v>
      </c>
      <c r="Q71" s="1" t="s">
        <v>42</v>
      </c>
      <c r="R71" s="11" t="s">
        <v>53</v>
      </c>
      <c r="S71" s="11" t="s">
        <v>146</v>
      </c>
      <c r="T71" s="11" t="s">
        <v>406</v>
      </c>
      <c r="U71" s="1" t="s">
        <v>48</v>
      </c>
      <c r="V71" s="1" t="s">
        <v>49</v>
      </c>
      <c r="W71" s="4">
        <v>0.25</v>
      </c>
      <c r="X71" s="4" t="s">
        <v>40</v>
      </c>
      <c r="Y71" s="4" t="s">
        <v>40</v>
      </c>
      <c r="Z71" s="4" t="s">
        <v>40</v>
      </c>
      <c r="AA71" s="4" t="s">
        <v>40</v>
      </c>
      <c r="AB71" s="4">
        <v>3</v>
      </c>
      <c r="AC71" s="4" t="s">
        <v>40</v>
      </c>
      <c r="AD71" s="4">
        <v>3.35</v>
      </c>
      <c r="AE71" s="4">
        <v>1</v>
      </c>
      <c r="AF71" s="4">
        <v>5</v>
      </c>
      <c r="AG71" s="4">
        <v>5</v>
      </c>
      <c r="AH71" s="4">
        <v>5</v>
      </c>
      <c r="AI71" s="4" t="s">
        <v>40</v>
      </c>
      <c r="AJ71" s="4" t="s">
        <v>40</v>
      </c>
      <c r="AK71" s="4">
        <v>10</v>
      </c>
      <c r="AL71" s="4" t="s">
        <v>40</v>
      </c>
      <c r="AM71" s="1" t="s">
        <v>40</v>
      </c>
    </row>
    <row r="72" spans="1:39" ht="25.5">
      <c r="A72" s="6" t="str">
        <f>HYPERLINK("https://www.bioscidb.com/tag/gettag/747332c9-ab64-4937-9d9d-014854396be3","Tag")</f>
        <v>Tag</v>
      </c>
      <c r="B72" s="15" t="s">
        <v>827</v>
      </c>
      <c r="C72" s="3" t="s">
        <v>77</v>
      </c>
      <c r="D72" s="11" t="s">
        <v>435</v>
      </c>
      <c r="E72" s="11" t="s">
        <v>117</v>
      </c>
      <c r="F72" s="11" t="s">
        <v>85</v>
      </c>
      <c r="G72" s="1" t="s">
        <v>44</v>
      </c>
      <c r="H72" s="6" t="str">
        <f>HYPERLINK("https://www.bioscidb.com/browse/deal_bg/8875","Deal")</f>
        <v>Deal</v>
      </c>
      <c r="I72" s="4">
        <v>20</v>
      </c>
      <c r="J72" s="4">
        <v>100</v>
      </c>
      <c r="K72" s="4">
        <v>35</v>
      </c>
      <c r="L72" s="4" t="s">
        <v>40</v>
      </c>
      <c r="M72" s="4">
        <v>35</v>
      </c>
      <c r="N72" s="11" t="s">
        <v>154</v>
      </c>
      <c r="O72" s="1" t="s">
        <v>427</v>
      </c>
      <c r="P72" s="11" t="s">
        <v>436</v>
      </c>
      <c r="Q72" s="1" t="s">
        <v>42</v>
      </c>
      <c r="R72" s="11" t="s">
        <v>53</v>
      </c>
      <c r="S72" s="11" t="s">
        <v>46</v>
      </c>
      <c r="T72" s="11" t="s">
        <v>437</v>
      </c>
      <c r="U72" s="1" t="s">
        <v>48</v>
      </c>
      <c r="V72" s="1" t="s">
        <v>49</v>
      </c>
      <c r="W72" s="4" t="s">
        <v>40</v>
      </c>
      <c r="X72" s="4" t="s">
        <v>40</v>
      </c>
      <c r="Y72" s="4" t="s">
        <v>40</v>
      </c>
      <c r="Z72" s="4" t="s">
        <v>40</v>
      </c>
      <c r="AA72" s="4" t="s">
        <v>40</v>
      </c>
      <c r="AB72" s="4">
        <v>45</v>
      </c>
      <c r="AC72" s="4">
        <v>8</v>
      </c>
      <c r="AD72" s="4">
        <v>73</v>
      </c>
      <c r="AE72" s="4">
        <v>27</v>
      </c>
      <c r="AF72" s="4">
        <v>27</v>
      </c>
      <c r="AG72" s="4">
        <v>32</v>
      </c>
      <c r="AH72" s="4">
        <v>34</v>
      </c>
      <c r="AI72" s="4" t="s">
        <v>40</v>
      </c>
      <c r="AJ72" s="4" t="s">
        <v>40</v>
      </c>
      <c r="AK72" s="4" t="s">
        <v>40</v>
      </c>
      <c r="AL72" s="4" t="s">
        <v>40</v>
      </c>
      <c r="AM72" s="1" t="s">
        <v>40</v>
      </c>
    </row>
    <row r="73" spans="1:39" ht="25.5">
      <c r="A73" s="6" t="str">
        <f>HYPERLINK("https://www.bioscidb.com/tag/gettag/48747253-4df3-4f27-bb9c-4cb19e068cd9","Tag")</f>
        <v>Tag</v>
      </c>
      <c r="B73" s="11" t="s">
        <v>858</v>
      </c>
      <c r="C73" s="3" t="s">
        <v>56</v>
      </c>
      <c r="D73" s="11" t="s">
        <v>54</v>
      </c>
      <c r="E73" s="11" t="s">
        <v>55</v>
      </c>
      <c r="F73" s="11" t="s">
        <v>67</v>
      </c>
      <c r="G73" s="1" t="s">
        <v>44</v>
      </c>
      <c r="H73" s="6" t="str">
        <f>HYPERLINK("https://www.bioscidb.com/browse/deal_bg/8293","Deal")</f>
        <v>Deal</v>
      </c>
      <c r="I73" s="4">
        <v>10</v>
      </c>
      <c r="J73" s="4">
        <v>577</v>
      </c>
      <c r="K73" s="4">
        <v>23</v>
      </c>
      <c r="L73" s="4" t="s">
        <v>40</v>
      </c>
      <c r="M73" s="4">
        <v>23</v>
      </c>
      <c r="N73" s="11" t="s">
        <v>59</v>
      </c>
      <c r="O73" s="1" t="s">
        <v>60</v>
      </c>
      <c r="P73" s="11" t="s">
        <v>58</v>
      </c>
      <c r="Q73" s="1" t="s">
        <v>42</v>
      </c>
      <c r="R73" s="11" t="s">
        <v>68</v>
      </c>
      <c r="S73" s="11" t="s">
        <v>61</v>
      </c>
      <c r="T73" s="11" t="s">
        <v>62</v>
      </c>
      <c r="U73" s="1" t="s">
        <v>63</v>
      </c>
      <c r="V73" s="1" t="s">
        <v>64</v>
      </c>
      <c r="W73" s="4" t="s">
        <v>40</v>
      </c>
      <c r="X73" s="4" t="s">
        <v>40</v>
      </c>
      <c r="Y73" s="4" t="s">
        <v>40</v>
      </c>
      <c r="Z73" s="4">
        <v>0.28</v>
      </c>
      <c r="AA73" s="4" t="s">
        <v>40</v>
      </c>
      <c r="AB73" s="4">
        <v>48</v>
      </c>
      <c r="AC73" s="4">
        <v>74</v>
      </c>
      <c r="AD73" s="4">
        <v>132</v>
      </c>
      <c r="AE73" s="4">
        <v>445</v>
      </c>
      <c r="AF73" s="4">
        <v>10</v>
      </c>
      <c r="AG73" s="4">
        <v>13</v>
      </c>
      <c r="AH73" s="4">
        <v>18</v>
      </c>
      <c r="AI73" s="4" t="s">
        <v>40</v>
      </c>
      <c r="AJ73" s="4" t="s">
        <v>40</v>
      </c>
      <c r="AK73" s="4" t="s">
        <v>40</v>
      </c>
      <c r="AL73" s="4" t="s">
        <v>40</v>
      </c>
      <c r="AM73" s="1" t="s">
        <v>66</v>
      </c>
    </row>
    <row r="74" spans="1:39" ht="51">
      <c r="A74" s="6" t="str">
        <f>HYPERLINK("https://www.bioscidb.com/tag/gettag/13607160-68bc-4348-9ba2-fd0afc8589c4","Tag")</f>
        <v>Tag</v>
      </c>
      <c r="B74" s="11" t="s">
        <v>859</v>
      </c>
      <c r="C74" s="3" t="s">
        <v>408</v>
      </c>
      <c r="D74" s="11" t="s">
        <v>141</v>
      </c>
      <c r="E74" s="11" t="s">
        <v>106</v>
      </c>
      <c r="F74" s="11" t="s">
        <v>85</v>
      </c>
      <c r="G74" s="1" t="s">
        <v>44</v>
      </c>
      <c r="H74" s="6" t="str">
        <f>HYPERLINK("https://www.bioscidb.com/browse/deal_bg/2120","Deal")</f>
        <v>Deal</v>
      </c>
      <c r="I74" s="4">
        <v>10</v>
      </c>
      <c r="J74" s="4">
        <v>373.4</v>
      </c>
      <c r="K74" s="4">
        <v>19</v>
      </c>
      <c r="L74" s="4" t="s">
        <v>40</v>
      </c>
      <c r="M74" s="4">
        <v>19</v>
      </c>
      <c r="N74" s="11" t="s">
        <v>666</v>
      </c>
      <c r="O74" s="1" t="s">
        <v>667</v>
      </c>
      <c r="P74" s="11" t="s">
        <v>665</v>
      </c>
      <c r="Q74" s="1" t="s">
        <v>42</v>
      </c>
      <c r="R74" s="11" t="s">
        <v>68</v>
      </c>
      <c r="S74" s="11" t="s">
        <v>668</v>
      </c>
      <c r="T74" s="11" t="s">
        <v>669</v>
      </c>
      <c r="U74" s="1" t="s">
        <v>48</v>
      </c>
      <c r="V74" s="1" t="s">
        <v>49</v>
      </c>
      <c r="W74" s="4" t="s">
        <v>40</v>
      </c>
      <c r="X74" s="4" t="s">
        <v>40</v>
      </c>
      <c r="Y74" s="4">
        <v>26.4</v>
      </c>
      <c r="Z74" s="4">
        <v>0.27</v>
      </c>
      <c r="AA74" s="4" t="s">
        <v>40</v>
      </c>
      <c r="AB74" s="4">
        <v>165</v>
      </c>
      <c r="AC74" s="4">
        <v>172</v>
      </c>
      <c r="AD74" s="4">
        <v>373.4</v>
      </c>
      <c r="AE74" s="4" t="s">
        <v>40</v>
      </c>
      <c r="AF74" s="4">
        <v>11</v>
      </c>
      <c r="AG74" s="4">
        <v>11</v>
      </c>
      <c r="AH74" s="4">
        <v>12</v>
      </c>
      <c r="AI74" s="4" t="s">
        <v>40</v>
      </c>
      <c r="AJ74" s="4" t="s">
        <v>40</v>
      </c>
      <c r="AK74" s="4" t="s">
        <v>40</v>
      </c>
      <c r="AL74" s="4" t="s">
        <v>40</v>
      </c>
      <c r="AM74" s="1" t="s">
        <v>670</v>
      </c>
    </row>
    <row r="75" spans="1:39" ht="51">
      <c r="A75" s="6" t="str">
        <f>HYPERLINK("https://www.bioscidb.com/tag/gettag/fc61b1a8-0a07-4690-b6e9-099f12f48d3f","Tag")</f>
        <v>Tag</v>
      </c>
      <c r="B75" s="15" t="s">
        <v>827</v>
      </c>
      <c r="C75" s="3" t="s">
        <v>408</v>
      </c>
      <c r="D75" s="11" t="s">
        <v>326</v>
      </c>
      <c r="E75" s="11" t="s">
        <v>407</v>
      </c>
      <c r="F75" s="11" t="s">
        <v>414</v>
      </c>
      <c r="G75" s="1" t="s">
        <v>44</v>
      </c>
      <c r="H75" s="6" t="str">
        <f>HYPERLINK("https://www.bioscidb.com/browse/deal_bg/11815","Deal")</f>
        <v>Deal</v>
      </c>
      <c r="I75" s="4">
        <v>3</v>
      </c>
      <c r="J75" s="4">
        <v>70</v>
      </c>
      <c r="K75" s="4">
        <v>18</v>
      </c>
      <c r="L75" s="4" t="s">
        <v>40</v>
      </c>
      <c r="M75" s="4">
        <v>18</v>
      </c>
      <c r="N75" s="11" t="s">
        <v>410</v>
      </c>
      <c r="O75" s="1" t="s">
        <v>411</v>
      </c>
      <c r="P75" s="11" t="s">
        <v>409</v>
      </c>
      <c r="Q75" s="1" t="s">
        <v>42</v>
      </c>
      <c r="R75" s="11" t="s">
        <v>68</v>
      </c>
      <c r="S75" s="11" t="s">
        <v>73</v>
      </c>
      <c r="T75" s="11" t="s">
        <v>412</v>
      </c>
      <c r="U75" s="1" t="s">
        <v>394</v>
      </c>
      <c r="V75" s="1" t="s">
        <v>40</v>
      </c>
      <c r="W75" s="4" t="s">
        <v>40</v>
      </c>
      <c r="X75" s="4" t="s">
        <v>40</v>
      </c>
      <c r="Y75" s="4" t="s">
        <v>40</v>
      </c>
      <c r="Z75" s="4" t="s">
        <v>40</v>
      </c>
      <c r="AA75" s="4">
        <v>13</v>
      </c>
      <c r="AB75" s="4">
        <v>10</v>
      </c>
      <c r="AC75" s="4">
        <v>29</v>
      </c>
      <c r="AD75" s="4">
        <v>55</v>
      </c>
      <c r="AE75" s="4">
        <v>15</v>
      </c>
      <c r="AF75" s="4">
        <v>10</v>
      </c>
      <c r="AG75" s="4">
        <v>13</v>
      </c>
      <c r="AH75" s="4">
        <v>16</v>
      </c>
      <c r="AI75" s="4" t="s">
        <v>40</v>
      </c>
      <c r="AJ75" s="4" t="s">
        <v>40</v>
      </c>
      <c r="AK75" s="4" t="s">
        <v>40</v>
      </c>
      <c r="AL75" s="4" t="s">
        <v>40</v>
      </c>
      <c r="AM75" s="1" t="s">
        <v>413</v>
      </c>
    </row>
    <row r="76" spans="1:39" ht="38.25">
      <c r="A76" s="6" t="str">
        <f>HYPERLINK("https://www.bioscidb.com/tag/gettag/70f5b211-d3eb-475e-b535-159fef91e54b","Tag")</f>
        <v>Tag</v>
      </c>
      <c r="B76" s="11" t="s">
        <v>860</v>
      </c>
      <c r="C76" s="3" t="s">
        <v>408</v>
      </c>
      <c r="D76" s="11" t="s">
        <v>780</v>
      </c>
      <c r="E76" s="11" t="s">
        <v>208</v>
      </c>
      <c r="F76" s="11" t="s">
        <v>85</v>
      </c>
      <c r="G76" s="1" t="s">
        <v>44</v>
      </c>
      <c r="H76" s="6" t="str">
        <f>HYPERLINK("https://www.bioscidb.com/browse/deal_bg/1322","Deal")</f>
        <v>Deal</v>
      </c>
      <c r="I76" s="4">
        <v>8</v>
      </c>
      <c r="J76" s="4">
        <v>104</v>
      </c>
      <c r="K76" s="4">
        <v>37</v>
      </c>
      <c r="L76" s="4" t="s">
        <v>40</v>
      </c>
      <c r="M76" s="4">
        <v>37</v>
      </c>
      <c r="N76" s="11" t="s">
        <v>782</v>
      </c>
      <c r="O76" s="1" t="s">
        <v>132</v>
      </c>
      <c r="P76" s="11" t="s">
        <v>781</v>
      </c>
      <c r="Q76" s="1" t="s">
        <v>42</v>
      </c>
      <c r="R76" s="11" t="s">
        <v>68</v>
      </c>
      <c r="S76" s="11" t="s">
        <v>521</v>
      </c>
      <c r="T76" s="11" t="s">
        <v>783</v>
      </c>
      <c r="U76" s="1" t="s">
        <v>455</v>
      </c>
      <c r="V76" s="1" t="s">
        <v>40</v>
      </c>
      <c r="W76" s="4" t="s">
        <v>40</v>
      </c>
      <c r="X76" s="4" t="s">
        <v>40</v>
      </c>
      <c r="Y76" s="4" t="s">
        <v>40</v>
      </c>
      <c r="Z76" s="4">
        <v>0.35</v>
      </c>
      <c r="AA76" s="4" t="s">
        <v>40</v>
      </c>
      <c r="AB76" s="4">
        <v>52</v>
      </c>
      <c r="AC76" s="4">
        <v>44</v>
      </c>
      <c r="AD76" s="4">
        <v>104</v>
      </c>
      <c r="AE76" s="4" t="s">
        <v>40</v>
      </c>
      <c r="AF76" s="4">
        <v>28.000000000000004</v>
      </c>
      <c r="AG76" s="4">
        <v>30</v>
      </c>
      <c r="AH76" s="4">
        <v>34</v>
      </c>
      <c r="AI76" s="4" t="s">
        <v>40</v>
      </c>
      <c r="AJ76" s="4" t="s">
        <v>40</v>
      </c>
      <c r="AK76" s="4" t="s">
        <v>40</v>
      </c>
      <c r="AL76" s="4" t="s">
        <v>40</v>
      </c>
      <c r="AM76" s="1" t="s">
        <v>784</v>
      </c>
    </row>
    <row r="77" spans="1:39" ht="25.5">
      <c r="A77" s="6" t="str">
        <f>HYPERLINK("https://www.bioscidb.com/tag/gettag/132de8f5-fad7-4b8d-9f99-ed575e586592","Tag")</f>
        <v>Tag</v>
      </c>
      <c r="B77" s="15" t="s">
        <v>827</v>
      </c>
      <c r="C77" s="3" t="s">
        <v>361</v>
      </c>
      <c r="D77" s="11" t="s">
        <v>359</v>
      </c>
      <c r="E77" s="11" t="s">
        <v>360</v>
      </c>
      <c r="F77" s="11" t="s">
        <v>365</v>
      </c>
      <c r="G77" s="1" t="s">
        <v>44</v>
      </c>
      <c r="H77" s="6" t="str">
        <f>HYPERLINK("https://www.bioscidb.com/browse/deal_bg/8505","Deal")</f>
        <v>Deal</v>
      </c>
      <c r="I77" s="4">
        <v>0.1</v>
      </c>
      <c r="J77" s="4">
        <v>8.95</v>
      </c>
      <c r="K77" s="4">
        <v>6</v>
      </c>
      <c r="L77" s="4" t="s">
        <v>40</v>
      </c>
      <c r="M77" s="4">
        <v>6</v>
      </c>
      <c r="N77" s="11" t="s">
        <v>154</v>
      </c>
      <c r="O77" s="1" t="s">
        <v>155</v>
      </c>
      <c r="P77" s="11" t="s">
        <v>362</v>
      </c>
      <c r="Q77" s="1" t="s">
        <v>42</v>
      </c>
      <c r="R77" s="11" t="s">
        <v>53</v>
      </c>
      <c r="S77" s="11" t="s">
        <v>176</v>
      </c>
      <c r="T77" s="11" t="s">
        <v>363</v>
      </c>
      <c r="U77" s="1" t="s">
        <v>48</v>
      </c>
      <c r="V77" s="1" t="s">
        <v>49</v>
      </c>
      <c r="W77" s="4" t="s">
        <v>40</v>
      </c>
      <c r="X77" s="4" t="s">
        <v>40</v>
      </c>
      <c r="Y77" s="4">
        <v>0.35</v>
      </c>
      <c r="Z77" s="4" t="s">
        <v>40</v>
      </c>
      <c r="AA77" s="4" t="s">
        <v>40</v>
      </c>
      <c r="AB77" s="4">
        <v>8.5</v>
      </c>
      <c r="AC77" s="4" t="s">
        <v>40</v>
      </c>
      <c r="AD77" s="4">
        <v>8.95</v>
      </c>
      <c r="AE77" s="4" t="s">
        <v>40</v>
      </c>
      <c r="AF77" s="4">
        <v>6</v>
      </c>
      <c r="AG77" s="4">
        <v>6</v>
      </c>
      <c r="AH77" s="4">
        <v>6</v>
      </c>
      <c r="AI77" s="4" t="s">
        <v>40</v>
      </c>
      <c r="AJ77" s="4" t="s">
        <v>40</v>
      </c>
      <c r="AK77" s="4" t="s">
        <v>40</v>
      </c>
      <c r="AL77" s="4" t="s">
        <v>40</v>
      </c>
      <c r="AM77" s="1" t="s">
        <v>364</v>
      </c>
    </row>
    <row r="78" spans="1:39" ht="25.5">
      <c r="A78" s="6" t="str">
        <f>HYPERLINK("https://www.bioscidb.com/tag/gettag/27691eda-8b79-44fa-bef2-5b1fa7e642b8","Tag")</f>
        <v>Tag</v>
      </c>
      <c r="B78" s="15" t="s">
        <v>827</v>
      </c>
      <c r="C78" s="3" t="s">
        <v>257</v>
      </c>
      <c r="D78" s="11" t="s">
        <v>263</v>
      </c>
      <c r="E78" s="11" t="s">
        <v>264</v>
      </c>
      <c r="F78" s="11" t="s">
        <v>271</v>
      </c>
      <c r="G78" s="1" t="s">
        <v>44</v>
      </c>
      <c r="H78" s="6" t="str">
        <f>HYPERLINK("https://www.bioscidb.com/browse/deal_bg/11875","Deal")</f>
        <v>Deal</v>
      </c>
      <c r="I78" s="4" t="s">
        <v>40</v>
      </c>
      <c r="J78" s="4">
        <v>11.6</v>
      </c>
      <c r="K78" s="4">
        <v>4</v>
      </c>
      <c r="L78" s="4" t="s">
        <v>40</v>
      </c>
      <c r="M78" s="4">
        <v>4</v>
      </c>
      <c r="N78" s="11" t="s">
        <v>266</v>
      </c>
      <c r="O78" s="1" t="s">
        <v>267</v>
      </c>
      <c r="P78" s="11" t="s">
        <v>265</v>
      </c>
      <c r="Q78" s="1" t="s">
        <v>42</v>
      </c>
      <c r="R78" s="11" t="s">
        <v>68</v>
      </c>
      <c r="S78" s="11" t="s">
        <v>268</v>
      </c>
      <c r="T78" s="11" t="s">
        <v>269</v>
      </c>
      <c r="U78" s="1" t="s">
        <v>63</v>
      </c>
      <c r="V78" s="1" t="s">
        <v>270</v>
      </c>
      <c r="W78" s="4" t="s">
        <v>40</v>
      </c>
      <c r="X78" s="4" t="s">
        <v>40</v>
      </c>
      <c r="Y78" s="4">
        <v>0.6</v>
      </c>
      <c r="Z78" s="4" t="s">
        <v>40</v>
      </c>
      <c r="AA78" s="4" t="s">
        <v>40</v>
      </c>
      <c r="AB78" s="4">
        <v>5.75</v>
      </c>
      <c r="AC78" s="4">
        <v>5.25</v>
      </c>
      <c r="AD78" s="4">
        <v>11.6</v>
      </c>
      <c r="AE78" s="4" t="s">
        <v>40</v>
      </c>
      <c r="AF78" s="4">
        <v>4</v>
      </c>
      <c r="AG78" s="4">
        <v>4</v>
      </c>
      <c r="AH78" s="4">
        <v>4</v>
      </c>
      <c r="AI78" s="4" t="s">
        <v>40</v>
      </c>
      <c r="AJ78" s="4" t="s">
        <v>40</v>
      </c>
      <c r="AK78" s="4" t="s">
        <v>40</v>
      </c>
      <c r="AL78" s="4" t="s">
        <v>40</v>
      </c>
      <c r="AM78" s="1" t="s">
        <v>40</v>
      </c>
    </row>
    <row r="79" spans="1:39" ht="25.5">
      <c r="A79" s="6" t="str">
        <f>HYPERLINK("https://www.bioscidb.com/tag/gettag/c27ea86f-e12c-4dac-8152-dd104b52f13c","Tag")</f>
        <v>Tag</v>
      </c>
      <c r="B79" s="15" t="s">
        <v>827</v>
      </c>
      <c r="C79" s="3" t="s">
        <v>257</v>
      </c>
      <c r="D79" s="11" t="s">
        <v>256</v>
      </c>
      <c r="E79" s="11" t="s">
        <v>75</v>
      </c>
      <c r="F79" s="11" t="s">
        <v>85</v>
      </c>
      <c r="G79" s="1" t="s">
        <v>44</v>
      </c>
      <c r="H79" s="6" t="str">
        <f>HYPERLINK("https://www.bioscidb.com/browse/deal_bg/12846","Deal")</f>
        <v>Deal</v>
      </c>
      <c r="I79" s="4">
        <v>6</v>
      </c>
      <c r="J79" s="4">
        <v>52</v>
      </c>
      <c r="K79" s="4">
        <v>3</v>
      </c>
      <c r="L79" s="4" t="s">
        <v>40</v>
      </c>
      <c r="M79" s="4">
        <v>3</v>
      </c>
      <c r="N79" s="11" t="s">
        <v>144</v>
      </c>
      <c r="O79" s="1" t="s">
        <v>80</v>
      </c>
      <c r="P79" s="11" t="s">
        <v>258</v>
      </c>
      <c r="Q79" s="1" t="s">
        <v>42</v>
      </c>
      <c r="R79" s="11" t="s">
        <v>68</v>
      </c>
      <c r="S79" s="11" t="s">
        <v>46</v>
      </c>
      <c r="T79" s="11" t="s">
        <v>259</v>
      </c>
      <c r="U79" s="1" t="s">
        <v>260</v>
      </c>
      <c r="V79" s="1" t="s">
        <v>261</v>
      </c>
      <c r="W79" s="4" t="s">
        <v>40</v>
      </c>
      <c r="X79" s="4" t="s">
        <v>40</v>
      </c>
      <c r="Y79" s="4">
        <v>5</v>
      </c>
      <c r="Z79" s="4" t="s">
        <v>40</v>
      </c>
      <c r="AA79" s="4" t="s">
        <v>40</v>
      </c>
      <c r="AB79" s="4">
        <v>34</v>
      </c>
      <c r="AC79" s="4">
        <v>7</v>
      </c>
      <c r="AD79" s="4">
        <v>52</v>
      </c>
      <c r="AE79" s="4" t="s">
        <v>40</v>
      </c>
      <c r="AF79" s="4">
        <v>2</v>
      </c>
      <c r="AG79" s="4">
        <v>2</v>
      </c>
      <c r="AH79" s="4">
        <v>2</v>
      </c>
      <c r="AI79" s="4" t="s">
        <v>40</v>
      </c>
      <c r="AJ79" s="4" t="s">
        <v>40</v>
      </c>
      <c r="AK79" s="4" t="s">
        <v>40</v>
      </c>
      <c r="AL79" s="4" t="s">
        <v>40</v>
      </c>
      <c r="AM79" s="1" t="s">
        <v>262</v>
      </c>
    </row>
    <row r="80" spans="1:39" ht="25.5">
      <c r="A80" s="6" t="str">
        <f>HYPERLINK("https://www.bioscidb.com/tag/gettag/70a66a4b-9016-461c-a109-0be4afaaca23","Tag")</f>
        <v>Tag</v>
      </c>
      <c r="B80" s="15" t="s">
        <v>847</v>
      </c>
      <c r="C80" s="3" t="s">
        <v>416</v>
      </c>
      <c r="D80" s="11" t="s">
        <v>415</v>
      </c>
      <c r="E80" s="11" t="s">
        <v>117</v>
      </c>
      <c r="F80" s="11" t="s">
        <v>85</v>
      </c>
      <c r="G80" s="1" t="s">
        <v>44</v>
      </c>
      <c r="H80" s="6" t="str">
        <f>HYPERLINK("https://www.bioscidb.com/browse/deal_bg/7388","Deal")</f>
        <v>Deal</v>
      </c>
      <c r="I80" s="4" t="s">
        <v>40</v>
      </c>
      <c r="J80" s="4">
        <v>123</v>
      </c>
      <c r="K80" s="4">
        <v>15</v>
      </c>
      <c r="L80" s="4">
        <v>3</v>
      </c>
      <c r="M80" s="4">
        <v>15</v>
      </c>
      <c r="N80" s="11" t="s">
        <v>418</v>
      </c>
      <c r="O80" s="1" t="s">
        <v>80</v>
      </c>
      <c r="P80" s="11" t="s">
        <v>417</v>
      </c>
      <c r="Q80" s="1" t="s">
        <v>42</v>
      </c>
      <c r="R80" s="11" t="s">
        <v>422</v>
      </c>
      <c r="S80" s="11" t="s">
        <v>111</v>
      </c>
      <c r="T80" s="11" t="s">
        <v>112</v>
      </c>
      <c r="U80" s="1" t="s">
        <v>419</v>
      </c>
      <c r="V80" s="1" t="s">
        <v>49</v>
      </c>
      <c r="W80" s="4">
        <v>3</v>
      </c>
      <c r="X80" s="4" t="s">
        <v>40</v>
      </c>
      <c r="Y80" s="4" t="s">
        <v>40</v>
      </c>
      <c r="Z80" s="4" t="s">
        <v>40</v>
      </c>
      <c r="AA80" s="4" t="s">
        <v>40</v>
      </c>
      <c r="AB80" s="4">
        <v>60</v>
      </c>
      <c r="AC80" s="4" t="s">
        <v>40</v>
      </c>
      <c r="AD80" s="4">
        <v>63</v>
      </c>
      <c r="AE80" s="4">
        <v>60</v>
      </c>
      <c r="AF80" s="4">
        <v>13</v>
      </c>
      <c r="AG80" s="4">
        <v>14.000000000000002</v>
      </c>
      <c r="AH80" s="4">
        <v>15</v>
      </c>
      <c r="AI80" s="4" t="s">
        <v>40</v>
      </c>
      <c r="AJ80" s="4" t="s">
        <v>40</v>
      </c>
      <c r="AK80" s="4" t="s">
        <v>40</v>
      </c>
      <c r="AL80" s="4" t="s">
        <v>40</v>
      </c>
      <c r="AM80" s="1" t="s">
        <v>421</v>
      </c>
    </row>
    <row r="81" spans="1:39" ht="38.25">
      <c r="A81" s="6" t="str">
        <f>HYPERLINK("https://www.bioscidb.com/tag/gettag/2d82fbc6-9096-4309-a127-2de1aef594cb","Tag")</f>
        <v>Tag</v>
      </c>
      <c r="B81" s="15" t="s">
        <v>861</v>
      </c>
      <c r="C81" s="3" t="s">
        <v>416</v>
      </c>
      <c r="D81" s="11" t="s">
        <v>541</v>
      </c>
      <c r="E81" s="11" t="s">
        <v>106</v>
      </c>
      <c r="F81" s="11" t="s">
        <v>85</v>
      </c>
      <c r="G81" s="1" t="s">
        <v>44</v>
      </c>
      <c r="H81" s="6" t="str">
        <f>HYPERLINK("https://www.bioscidb.com/browse/deal_bg/689","Deal")</f>
        <v>Deal</v>
      </c>
      <c r="I81" s="4">
        <v>10</v>
      </c>
      <c r="J81" s="4">
        <v>389.75</v>
      </c>
      <c r="K81" s="4">
        <v>11</v>
      </c>
      <c r="L81" s="4" t="s">
        <v>40</v>
      </c>
      <c r="M81" s="4">
        <v>11</v>
      </c>
      <c r="N81" s="11" t="s">
        <v>544</v>
      </c>
      <c r="O81" s="1" t="s">
        <v>545</v>
      </c>
      <c r="P81" s="11" t="s">
        <v>543</v>
      </c>
      <c r="Q81" s="1" t="s">
        <v>42</v>
      </c>
      <c r="R81" s="11" t="s">
        <v>68</v>
      </c>
      <c r="S81" s="11" t="s">
        <v>46</v>
      </c>
      <c r="T81" s="11" t="s">
        <v>546</v>
      </c>
      <c r="U81" s="1" t="s">
        <v>48</v>
      </c>
      <c r="V81" s="1" t="s">
        <v>49</v>
      </c>
      <c r="W81" s="4" t="s">
        <v>40</v>
      </c>
      <c r="X81" s="4" t="s">
        <v>40</v>
      </c>
      <c r="Y81" s="4">
        <v>9.75</v>
      </c>
      <c r="Z81" s="4">
        <v>0.25</v>
      </c>
      <c r="AA81" s="4" t="s">
        <v>40</v>
      </c>
      <c r="AB81" s="4">
        <v>110</v>
      </c>
      <c r="AC81" s="4">
        <v>70</v>
      </c>
      <c r="AD81" s="4">
        <v>199.75</v>
      </c>
      <c r="AE81" s="4">
        <v>190</v>
      </c>
      <c r="AF81" s="4">
        <v>5</v>
      </c>
      <c r="AG81" s="4">
        <v>5</v>
      </c>
      <c r="AH81" s="4">
        <v>5</v>
      </c>
      <c r="AI81" s="4" t="s">
        <v>40</v>
      </c>
      <c r="AJ81" s="4" t="s">
        <v>40</v>
      </c>
      <c r="AK81" s="4" t="s">
        <v>40</v>
      </c>
      <c r="AL81" s="4" t="s">
        <v>40</v>
      </c>
      <c r="AM81" s="1" t="s">
        <v>547</v>
      </c>
    </row>
    <row r="82" spans="1:39" ht="25.5">
      <c r="A82" s="6" t="str">
        <f>HYPERLINK("https://www.bioscidb.com/tag/gettag/c09c464b-f29b-4698-bf05-62c437c38da5","Tag")</f>
        <v>Tag</v>
      </c>
      <c r="B82" s="15" t="s">
        <v>827</v>
      </c>
      <c r="C82" s="3" t="s">
        <v>425</v>
      </c>
      <c r="D82" s="11" t="s">
        <v>423</v>
      </c>
      <c r="E82" s="11" t="s">
        <v>424</v>
      </c>
      <c r="F82" s="11" t="s">
        <v>429</v>
      </c>
      <c r="G82" s="1" t="s">
        <v>44</v>
      </c>
      <c r="H82" s="6" t="str">
        <f>HYPERLINK("https://www.bioscidb.com/browse/deal_bg/10044","Deal")</f>
        <v>Deal</v>
      </c>
      <c r="I82" s="4">
        <v>6</v>
      </c>
      <c r="J82" s="4">
        <v>30</v>
      </c>
      <c r="K82" s="4">
        <v>14.000000000000002</v>
      </c>
      <c r="L82" s="4" t="s">
        <v>40</v>
      </c>
      <c r="M82" s="4">
        <v>14.000000000000002</v>
      </c>
      <c r="N82" s="11" t="s">
        <v>43</v>
      </c>
      <c r="O82" s="1" t="s">
        <v>427</v>
      </c>
      <c r="P82" s="11" t="s">
        <v>426</v>
      </c>
      <c r="Q82" s="1" t="s">
        <v>42</v>
      </c>
      <c r="R82" s="11" t="s">
        <v>430</v>
      </c>
      <c r="S82" s="11" t="s">
        <v>101</v>
      </c>
      <c r="T82" s="11" t="s">
        <v>212</v>
      </c>
      <c r="U82" s="1" t="s">
        <v>48</v>
      </c>
      <c r="V82" s="1" t="s">
        <v>49</v>
      </c>
      <c r="W82" s="4" t="s">
        <v>40</v>
      </c>
      <c r="X82" s="4" t="s">
        <v>40</v>
      </c>
      <c r="Y82" s="4" t="s">
        <v>40</v>
      </c>
      <c r="Z82" s="4" t="s">
        <v>40</v>
      </c>
      <c r="AA82" s="4" t="s">
        <v>40</v>
      </c>
      <c r="AB82" s="4">
        <v>10</v>
      </c>
      <c r="AC82" s="4" t="s">
        <v>40</v>
      </c>
      <c r="AD82" s="4">
        <v>16</v>
      </c>
      <c r="AE82" s="4">
        <v>14</v>
      </c>
      <c r="AF82" s="4">
        <v>14.000000000000002</v>
      </c>
      <c r="AG82" s="4">
        <v>14.000000000000002</v>
      </c>
      <c r="AH82" s="4">
        <v>14.000000000000002</v>
      </c>
      <c r="AI82" s="4" t="s">
        <v>40</v>
      </c>
      <c r="AJ82" s="4" t="s">
        <v>40</v>
      </c>
      <c r="AK82" s="4" t="s">
        <v>40</v>
      </c>
      <c r="AL82" s="4" t="s">
        <v>40</v>
      </c>
      <c r="AM82" s="1" t="s">
        <v>428</v>
      </c>
    </row>
    <row r="83" spans="1:39" ht="25.5">
      <c r="A83" s="6" t="str">
        <f>HYPERLINK("https://www.bioscidb.com/tag/gettag/c4787aca-c1c5-4fd3-b118-acc1419b2f6c","Tag")</f>
        <v>Tag</v>
      </c>
      <c r="B83" s="15" t="s">
        <v>847</v>
      </c>
      <c r="C83" s="3" t="s">
        <v>425</v>
      </c>
      <c r="D83" s="11" t="s">
        <v>96</v>
      </c>
      <c r="E83" s="11" t="s">
        <v>75</v>
      </c>
      <c r="F83" s="11" t="s">
        <v>85</v>
      </c>
      <c r="G83" s="1" t="s">
        <v>44</v>
      </c>
      <c r="H83" s="6" t="str">
        <f>HYPERLINK("https://www.bioscidb.com/browse/deal_bg/391","Deal")</f>
        <v>Deal</v>
      </c>
      <c r="I83" s="4">
        <v>5</v>
      </c>
      <c r="J83" s="4">
        <v>75.8</v>
      </c>
      <c r="K83" s="4">
        <v>10</v>
      </c>
      <c r="L83" s="4" t="s">
        <v>40</v>
      </c>
      <c r="M83" s="4">
        <v>10</v>
      </c>
      <c r="N83" s="11" t="s">
        <v>432</v>
      </c>
      <c r="O83" s="1" t="s">
        <v>45</v>
      </c>
      <c r="P83" s="11" t="s">
        <v>431</v>
      </c>
      <c r="Q83" s="1" t="s">
        <v>42</v>
      </c>
      <c r="R83" s="11" t="s">
        <v>68</v>
      </c>
      <c r="S83" s="11" t="s">
        <v>81</v>
      </c>
      <c r="T83" s="11" t="s">
        <v>433</v>
      </c>
      <c r="U83" s="1" t="s">
        <v>148</v>
      </c>
      <c r="V83" s="1" t="s">
        <v>434</v>
      </c>
      <c r="W83" s="4" t="s">
        <v>40</v>
      </c>
      <c r="X83" s="4" t="s">
        <v>40</v>
      </c>
      <c r="Y83" s="4">
        <v>6.3</v>
      </c>
      <c r="Z83" s="4">
        <v>0.3</v>
      </c>
      <c r="AA83" s="4" t="s">
        <v>40</v>
      </c>
      <c r="AB83" s="4">
        <v>44</v>
      </c>
      <c r="AC83" s="4">
        <v>20</v>
      </c>
      <c r="AD83" s="4">
        <v>75.3</v>
      </c>
      <c r="AE83" s="4" t="s">
        <v>40</v>
      </c>
      <c r="AF83" s="4">
        <v>6</v>
      </c>
      <c r="AG83" s="4">
        <v>6</v>
      </c>
      <c r="AH83" s="4">
        <v>8</v>
      </c>
      <c r="AI83" s="4" t="s">
        <v>40</v>
      </c>
      <c r="AJ83" s="4" t="s">
        <v>40</v>
      </c>
      <c r="AK83" s="4" t="s">
        <v>40</v>
      </c>
      <c r="AL83" s="4" t="s">
        <v>40</v>
      </c>
      <c r="AM83" s="1" t="s">
        <v>40</v>
      </c>
    </row>
    <row r="84" spans="1:39" ht="25.5">
      <c r="A84" s="6" t="str">
        <f>HYPERLINK("https://www.bioscidb.com/tag/gettag/2462eb43-8b85-4ac4-82cb-c40a0bfe5d06","Tag")</f>
        <v>Tag</v>
      </c>
      <c r="B84" s="11" t="s">
        <v>865</v>
      </c>
      <c r="C84" s="3" t="s">
        <v>786</v>
      </c>
      <c r="D84" s="11" t="s">
        <v>785</v>
      </c>
      <c r="E84" s="11" t="s">
        <v>38</v>
      </c>
      <c r="F84" s="11" t="s">
        <v>52</v>
      </c>
      <c r="G84" s="1" t="s">
        <v>44</v>
      </c>
      <c r="H84" s="6" t="str">
        <f>HYPERLINK("https://www.bioscidb.com/browse/deal_bg/9667","Deal")</f>
        <v>Deal</v>
      </c>
      <c r="I84" s="4">
        <v>0.5</v>
      </c>
      <c r="J84" s="4">
        <v>15.25</v>
      </c>
      <c r="K84" s="4">
        <v>12</v>
      </c>
      <c r="L84" s="4" t="s">
        <v>40</v>
      </c>
      <c r="M84" s="4">
        <v>12</v>
      </c>
      <c r="N84" s="11" t="s">
        <v>788</v>
      </c>
      <c r="O84" s="1" t="s">
        <v>132</v>
      </c>
      <c r="P84" s="11" t="s">
        <v>787</v>
      </c>
      <c r="Q84" s="1" t="s">
        <v>42</v>
      </c>
      <c r="R84" s="11" t="s">
        <v>53</v>
      </c>
      <c r="S84" s="11" t="s">
        <v>789</v>
      </c>
      <c r="T84" s="11" t="s">
        <v>790</v>
      </c>
      <c r="U84" s="1" t="s">
        <v>48</v>
      </c>
      <c r="V84" s="1" t="s">
        <v>49</v>
      </c>
      <c r="W84" s="4" t="s">
        <v>40</v>
      </c>
      <c r="X84" s="4" t="s">
        <v>40</v>
      </c>
      <c r="Y84" s="4" t="s">
        <v>40</v>
      </c>
      <c r="Z84" s="4" t="s">
        <v>40</v>
      </c>
      <c r="AA84" s="4" t="s">
        <v>40</v>
      </c>
      <c r="AB84" s="4">
        <v>12.75</v>
      </c>
      <c r="AC84" s="4" t="s">
        <v>40</v>
      </c>
      <c r="AD84" s="4">
        <v>13.25</v>
      </c>
      <c r="AE84" s="4">
        <v>2</v>
      </c>
      <c r="AF84" s="4">
        <v>6</v>
      </c>
      <c r="AG84" s="4">
        <v>8</v>
      </c>
      <c r="AH84" s="4">
        <v>9</v>
      </c>
      <c r="AI84" s="4" t="s">
        <v>40</v>
      </c>
      <c r="AJ84" s="4" t="s">
        <v>40</v>
      </c>
      <c r="AK84" s="4" t="s">
        <v>40</v>
      </c>
      <c r="AL84" s="4" t="s">
        <v>40</v>
      </c>
      <c r="AM84" s="1" t="s">
        <v>40</v>
      </c>
    </row>
    <row r="85" spans="1:39" ht="25.5">
      <c r="A85" s="6" t="str">
        <f>HYPERLINK("https://www.bioscidb.com/tag/gettag/905e0566-88d4-4fef-a5a2-1bb67da2e9a0","Tag")</f>
        <v>Tag</v>
      </c>
      <c r="B85" s="11" t="s">
        <v>862</v>
      </c>
      <c r="C85" s="3" t="s">
        <v>71</v>
      </c>
      <c r="D85" s="11" t="s">
        <v>69</v>
      </c>
      <c r="E85" s="11" t="s">
        <v>70</v>
      </c>
      <c r="F85" s="11" t="s">
        <v>40</v>
      </c>
      <c r="G85" s="1" t="s">
        <v>44</v>
      </c>
      <c r="H85" s="6" t="str">
        <f>HYPERLINK("https://www.bioscidb.com/browse/deal_bg/10727","Deal")</f>
        <v>Deal</v>
      </c>
      <c r="I85" s="4" t="s">
        <v>40</v>
      </c>
      <c r="J85" s="4" t="s">
        <v>40</v>
      </c>
      <c r="K85" s="4">
        <v>3</v>
      </c>
      <c r="L85" s="4" t="s">
        <v>40</v>
      </c>
      <c r="M85" s="4">
        <v>3</v>
      </c>
      <c r="N85" s="11" t="s">
        <v>43</v>
      </c>
      <c r="O85" s="1" t="s">
        <v>40</v>
      </c>
      <c r="P85" s="11" t="s">
        <v>72</v>
      </c>
      <c r="Q85" s="1" t="s">
        <v>42</v>
      </c>
      <c r="R85" s="11" t="s">
        <v>68</v>
      </c>
      <c r="S85" s="11" t="s">
        <v>73</v>
      </c>
      <c r="T85" s="11" t="s">
        <v>74</v>
      </c>
      <c r="U85" s="1" t="s">
        <v>40</v>
      </c>
      <c r="V85" s="1" t="s">
        <v>40</v>
      </c>
      <c r="W85" s="4" t="s">
        <v>40</v>
      </c>
      <c r="X85" s="4" t="s">
        <v>40</v>
      </c>
      <c r="Y85" s="4" t="s">
        <v>40</v>
      </c>
      <c r="Z85" s="4" t="s">
        <v>40</v>
      </c>
      <c r="AA85" s="4" t="s">
        <v>40</v>
      </c>
      <c r="AB85" s="4" t="s">
        <v>40</v>
      </c>
      <c r="AC85" s="4" t="s">
        <v>40</v>
      </c>
      <c r="AD85" s="4" t="s">
        <v>40</v>
      </c>
      <c r="AE85" s="4" t="s">
        <v>40</v>
      </c>
      <c r="AF85" s="4">
        <v>3</v>
      </c>
      <c r="AG85" s="4">
        <v>3</v>
      </c>
      <c r="AH85" s="4">
        <v>3</v>
      </c>
      <c r="AI85" s="4" t="s">
        <v>40</v>
      </c>
      <c r="AJ85" s="4" t="s">
        <v>40</v>
      </c>
      <c r="AK85" s="4" t="s">
        <v>40</v>
      </c>
      <c r="AL85" s="4" t="s">
        <v>40</v>
      </c>
      <c r="AM85" s="1" t="s">
        <v>40</v>
      </c>
    </row>
    <row r="86" spans="1:39" ht="25.5">
      <c r="A86" s="6" t="str">
        <f>HYPERLINK("https://www.bioscidb.com/tag/gettag/58d8e242-fe78-4345-bfaf-9573ed8b21f1","Tag")</f>
        <v>Tag</v>
      </c>
      <c r="B86" s="15" t="s">
        <v>827</v>
      </c>
      <c r="C86" s="3" t="s">
        <v>291</v>
      </c>
      <c r="D86" s="11" t="s">
        <v>135</v>
      </c>
      <c r="E86" s="11" t="s">
        <v>38</v>
      </c>
      <c r="F86" s="11" t="s">
        <v>52</v>
      </c>
      <c r="G86" s="1" t="s">
        <v>44</v>
      </c>
      <c r="H86" s="6" t="str">
        <f>HYPERLINK("https://www.bioscidb.com/browse/deal_bg/6536","Deal")</f>
        <v>Deal</v>
      </c>
      <c r="I86" s="4">
        <v>0.2</v>
      </c>
      <c r="J86" s="4">
        <v>5.7</v>
      </c>
      <c r="K86" s="4">
        <v>12</v>
      </c>
      <c r="L86" s="4" t="s">
        <v>40</v>
      </c>
      <c r="M86" s="4">
        <v>12</v>
      </c>
      <c r="N86" s="11" t="s">
        <v>43</v>
      </c>
      <c r="O86" s="1" t="s">
        <v>293</v>
      </c>
      <c r="P86" s="11" t="s">
        <v>292</v>
      </c>
      <c r="Q86" s="1" t="s">
        <v>42</v>
      </c>
      <c r="R86" s="11" t="s">
        <v>53</v>
      </c>
      <c r="S86" s="11" t="s">
        <v>146</v>
      </c>
      <c r="T86" s="11" t="s">
        <v>294</v>
      </c>
      <c r="U86" s="1" t="s">
        <v>48</v>
      </c>
      <c r="V86" s="1" t="s">
        <v>49</v>
      </c>
      <c r="W86" s="4" t="s">
        <v>40</v>
      </c>
      <c r="X86" s="4" t="s">
        <v>40</v>
      </c>
      <c r="Y86" s="4" t="s">
        <v>40</v>
      </c>
      <c r="Z86" s="4" t="s">
        <v>40</v>
      </c>
      <c r="AA86" s="4" t="s">
        <v>40</v>
      </c>
      <c r="AB86" s="4">
        <v>5.5</v>
      </c>
      <c r="AC86" s="4" t="s">
        <v>40</v>
      </c>
      <c r="AD86" s="4">
        <v>5.7</v>
      </c>
      <c r="AE86" s="4" t="s">
        <v>40</v>
      </c>
      <c r="AF86" s="4">
        <v>6</v>
      </c>
      <c r="AG86" s="4">
        <v>8</v>
      </c>
      <c r="AH86" s="4">
        <v>10</v>
      </c>
      <c r="AI86" s="4" t="s">
        <v>40</v>
      </c>
      <c r="AJ86" s="4" t="s">
        <v>40</v>
      </c>
      <c r="AK86" s="4" t="s">
        <v>40</v>
      </c>
      <c r="AL86" s="4" t="s">
        <v>40</v>
      </c>
      <c r="AM86" s="1" t="s">
        <v>295</v>
      </c>
    </row>
    <row r="87" spans="1:39" ht="25.5">
      <c r="A87" s="6" t="str">
        <f>HYPERLINK("https://www.bioscidb.com/tag/gettag/d68c9ea2-a22d-424c-a3b4-5ea1cef5df85","Tag")</f>
        <v>Tag</v>
      </c>
      <c r="B87" s="15" t="s">
        <v>827</v>
      </c>
      <c r="C87" s="3" t="s">
        <v>76</v>
      </c>
      <c r="D87" s="11" t="s">
        <v>54</v>
      </c>
      <c r="E87" s="11" t="s">
        <v>75</v>
      </c>
      <c r="F87" s="11" t="s">
        <v>85</v>
      </c>
      <c r="G87" s="1" t="s">
        <v>44</v>
      </c>
      <c r="H87" s="6" t="str">
        <f>HYPERLINK("https://www.bioscidb.com/browse/deal_bg/3926","Deal")</f>
        <v>Deal</v>
      </c>
      <c r="I87" s="4">
        <v>5</v>
      </c>
      <c r="J87" s="4">
        <v>376</v>
      </c>
      <c r="K87" s="4">
        <v>16</v>
      </c>
      <c r="L87" s="4" t="s">
        <v>40</v>
      </c>
      <c r="M87" s="4">
        <v>16</v>
      </c>
      <c r="N87" s="11" t="s">
        <v>79</v>
      </c>
      <c r="O87" s="1" t="s">
        <v>80</v>
      </c>
      <c r="P87" s="11" t="s">
        <v>78</v>
      </c>
      <c r="Q87" s="1" t="s">
        <v>42</v>
      </c>
      <c r="R87" s="11" t="s">
        <v>68</v>
      </c>
      <c r="S87" s="11" t="s">
        <v>81</v>
      </c>
      <c r="T87" s="11" t="s">
        <v>82</v>
      </c>
      <c r="U87" s="1" t="s">
        <v>83</v>
      </c>
      <c r="V87" s="1" t="s">
        <v>64</v>
      </c>
      <c r="W87" s="4" t="s">
        <v>40</v>
      </c>
      <c r="X87" s="4" t="s">
        <v>40</v>
      </c>
      <c r="Y87" s="4" t="s">
        <v>40</v>
      </c>
      <c r="Z87" s="4" t="s">
        <v>40</v>
      </c>
      <c r="AA87" s="4">
        <v>30</v>
      </c>
      <c r="AB87" s="4">
        <v>131</v>
      </c>
      <c r="AC87" s="4" t="s">
        <v>40</v>
      </c>
      <c r="AD87" s="4">
        <v>166</v>
      </c>
      <c r="AE87" s="4">
        <v>210</v>
      </c>
      <c r="AF87" s="4">
        <v>9</v>
      </c>
      <c r="AG87" s="4">
        <v>10</v>
      </c>
      <c r="AH87" s="4">
        <v>11</v>
      </c>
      <c r="AI87" s="4" t="s">
        <v>40</v>
      </c>
      <c r="AJ87" s="4" t="s">
        <v>40</v>
      </c>
      <c r="AK87" s="4" t="s">
        <v>40</v>
      </c>
      <c r="AL87" s="4" t="s">
        <v>40</v>
      </c>
      <c r="AM87" s="1" t="s">
        <v>84</v>
      </c>
    </row>
    <row r="88" spans="1:39" ht="25.5">
      <c r="A88" s="6" t="str">
        <f>HYPERLINK("https://www.bioscidb.com/tag/gettag/b7ca4d31-249f-4a78-a0e5-1932de0c43ad","Tag")</f>
        <v>Tag</v>
      </c>
      <c r="B88" s="15" t="s">
        <v>827</v>
      </c>
      <c r="C88" s="3" t="s">
        <v>297</v>
      </c>
      <c r="D88" s="11" t="s">
        <v>296</v>
      </c>
      <c r="E88" s="11" t="s">
        <v>75</v>
      </c>
      <c r="F88" s="11" t="s">
        <v>85</v>
      </c>
      <c r="G88" s="1" t="s">
        <v>44</v>
      </c>
      <c r="H88" s="6" t="str">
        <f>HYPERLINK("https://www.bioscidb.com/browse/deal_bg/59","Deal")</f>
        <v>Deal</v>
      </c>
      <c r="I88" s="4">
        <v>35</v>
      </c>
      <c r="J88" s="4">
        <v>480</v>
      </c>
      <c r="K88" s="4">
        <v>20</v>
      </c>
      <c r="L88" s="4" t="s">
        <v>40</v>
      </c>
      <c r="M88" s="4">
        <v>20</v>
      </c>
      <c r="N88" s="11" t="s">
        <v>299</v>
      </c>
      <c r="O88" s="1" t="s">
        <v>80</v>
      </c>
      <c r="P88" s="11" t="s">
        <v>298</v>
      </c>
      <c r="Q88" s="1" t="s">
        <v>42</v>
      </c>
      <c r="R88" s="11" t="s">
        <v>68</v>
      </c>
      <c r="S88" s="11" t="s">
        <v>188</v>
      </c>
      <c r="T88" s="11" t="s">
        <v>300</v>
      </c>
      <c r="U88" s="1" t="s">
        <v>48</v>
      </c>
      <c r="V88" s="1" t="s">
        <v>49</v>
      </c>
      <c r="W88" s="4" t="s">
        <v>40</v>
      </c>
      <c r="X88" s="4" t="s">
        <v>40</v>
      </c>
      <c r="Y88" s="4" t="s">
        <v>40</v>
      </c>
      <c r="Z88" s="4" t="s">
        <v>40</v>
      </c>
      <c r="AA88" s="4" t="s">
        <v>40</v>
      </c>
      <c r="AB88" s="4">
        <v>185</v>
      </c>
      <c r="AC88" s="4">
        <v>140</v>
      </c>
      <c r="AD88" s="4">
        <v>360</v>
      </c>
      <c r="AE88" s="4">
        <v>120</v>
      </c>
      <c r="AF88" s="4">
        <v>11</v>
      </c>
      <c r="AG88" s="4">
        <v>11</v>
      </c>
      <c r="AH88" s="4">
        <v>12</v>
      </c>
      <c r="AI88" s="4" t="s">
        <v>40</v>
      </c>
      <c r="AJ88" s="4" t="s">
        <v>40</v>
      </c>
      <c r="AK88" s="4" t="s">
        <v>40</v>
      </c>
      <c r="AL88" s="4" t="s">
        <v>40</v>
      </c>
      <c r="AM88" s="1" t="s">
        <v>40</v>
      </c>
    </row>
    <row r="89" spans="1:39" ht="25.5">
      <c r="A89" s="6" t="str">
        <f>HYPERLINK("https://www.bioscidb.com/tag/gettag/b82b6ce5-cb4f-48c1-a969-a6c56bb429c9","Tag")</f>
        <v>Tag</v>
      </c>
      <c r="B89" s="15" t="s">
        <v>827</v>
      </c>
      <c r="C89" s="3" t="s">
        <v>440</v>
      </c>
      <c r="D89" s="11" t="s">
        <v>438</v>
      </c>
      <c r="E89" s="11" t="s">
        <v>439</v>
      </c>
      <c r="F89" s="11" t="s">
        <v>52</v>
      </c>
      <c r="G89" s="1" t="s">
        <v>443</v>
      </c>
      <c r="H89" s="6" t="str">
        <f>HYPERLINK("https://www.bioscidb.com/browse/deal_bg/4849","Deal")</f>
        <v>Deal</v>
      </c>
      <c r="I89" s="4" t="s">
        <v>40</v>
      </c>
      <c r="J89" s="4">
        <v>8</v>
      </c>
      <c r="K89" s="4">
        <v>2</v>
      </c>
      <c r="L89" s="4" t="s">
        <v>40</v>
      </c>
      <c r="M89" s="4">
        <v>2</v>
      </c>
      <c r="N89" s="11" t="s">
        <v>442</v>
      </c>
      <c r="O89" s="1" t="s">
        <v>110</v>
      </c>
      <c r="P89" s="11" t="s">
        <v>441</v>
      </c>
      <c r="Q89" s="1" t="s">
        <v>42</v>
      </c>
      <c r="R89" s="11" t="s">
        <v>68</v>
      </c>
      <c r="S89" s="11" t="s">
        <v>111</v>
      </c>
      <c r="T89" s="11" t="s">
        <v>112</v>
      </c>
      <c r="U89" s="1" t="s">
        <v>276</v>
      </c>
      <c r="V89" s="1" t="s">
        <v>277</v>
      </c>
      <c r="W89" s="4" t="s">
        <v>40</v>
      </c>
      <c r="X89" s="4" t="s">
        <v>40</v>
      </c>
      <c r="Y89" s="4" t="s">
        <v>40</v>
      </c>
      <c r="Z89" s="4" t="s">
        <v>40</v>
      </c>
      <c r="AA89" s="4" t="s">
        <v>40</v>
      </c>
      <c r="AB89" s="4">
        <v>1.5</v>
      </c>
      <c r="AC89" s="4">
        <v>6.5</v>
      </c>
      <c r="AD89" s="4">
        <v>8</v>
      </c>
      <c r="AE89" s="4" t="s">
        <v>40</v>
      </c>
      <c r="AF89" s="4">
        <v>2</v>
      </c>
      <c r="AG89" s="4">
        <v>2</v>
      </c>
      <c r="AH89" s="4">
        <v>2</v>
      </c>
      <c r="AI89" s="4" t="s">
        <v>40</v>
      </c>
      <c r="AJ89" s="4" t="s">
        <v>40</v>
      </c>
      <c r="AK89" s="4" t="s">
        <v>40</v>
      </c>
      <c r="AL89" s="4" t="s">
        <v>40</v>
      </c>
      <c r="AM89" s="1" t="s">
        <v>444</v>
      </c>
    </row>
    <row r="90" spans="1:39" ht="25.5">
      <c r="A90" s="6" t="str">
        <f>HYPERLINK("https://www.bioscidb.com/tag/gettag/20639fbe-b0af-4355-8ce6-3e5ad33ae603","Tag")</f>
        <v>Tag</v>
      </c>
      <c r="B90" s="15" t="s">
        <v>827</v>
      </c>
      <c r="C90" s="3" t="s">
        <v>657</v>
      </c>
      <c r="D90" s="11" t="s">
        <v>395</v>
      </c>
      <c r="E90" s="11" t="s">
        <v>75</v>
      </c>
      <c r="F90" s="11" t="s">
        <v>85</v>
      </c>
      <c r="G90" s="1" t="s">
        <v>44</v>
      </c>
      <c r="H90" s="6" t="str">
        <f>HYPERLINK("https://www.bioscidb.com/browse/deal_bg/29","Deal")</f>
        <v>Deal</v>
      </c>
      <c r="I90" s="4">
        <v>3</v>
      </c>
      <c r="J90" s="4">
        <v>33.5</v>
      </c>
      <c r="K90" s="4">
        <v>50</v>
      </c>
      <c r="L90" s="4" t="s">
        <v>40</v>
      </c>
      <c r="M90" s="4">
        <v>15</v>
      </c>
      <c r="N90" s="11" t="s">
        <v>515</v>
      </c>
      <c r="O90" s="1" t="s">
        <v>110</v>
      </c>
      <c r="P90" s="11" t="s">
        <v>675</v>
      </c>
      <c r="Q90" s="1" t="s">
        <v>42</v>
      </c>
      <c r="R90" s="11" t="s">
        <v>68</v>
      </c>
      <c r="S90" s="11" t="s">
        <v>534</v>
      </c>
      <c r="T90" s="11" t="s">
        <v>676</v>
      </c>
      <c r="U90" s="1" t="s">
        <v>166</v>
      </c>
      <c r="V90" s="1" t="s">
        <v>213</v>
      </c>
      <c r="W90" s="4" t="s">
        <v>40</v>
      </c>
      <c r="X90" s="4" t="s">
        <v>40</v>
      </c>
      <c r="Y90" s="4" t="s">
        <v>40</v>
      </c>
      <c r="Z90" s="4">
        <v>0.49</v>
      </c>
      <c r="AA90" s="4" t="s">
        <v>40</v>
      </c>
      <c r="AB90" s="4">
        <v>30.5</v>
      </c>
      <c r="AC90" s="4" t="s">
        <v>40</v>
      </c>
      <c r="AD90" s="4">
        <v>33.5</v>
      </c>
      <c r="AE90" s="4" t="s">
        <v>40</v>
      </c>
      <c r="AF90" s="4">
        <v>11</v>
      </c>
      <c r="AG90" s="4">
        <v>12</v>
      </c>
      <c r="AH90" s="4">
        <v>13</v>
      </c>
      <c r="AI90" s="4" t="s">
        <v>40</v>
      </c>
      <c r="AJ90" s="4" t="s">
        <v>40</v>
      </c>
      <c r="AK90" s="4" t="s">
        <v>40</v>
      </c>
      <c r="AL90" s="4">
        <v>50</v>
      </c>
      <c r="AM90" s="1" t="s">
        <v>40</v>
      </c>
    </row>
    <row r="91" spans="1:39" ht="38.25">
      <c r="A91" s="6" t="str">
        <f>HYPERLINK("https://www.bioscidb.com/tag/gettag/d1e24536-cc3f-4238-8097-4c983d66a505","Tag")</f>
        <v>Tag</v>
      </c>
      <c r="B91" s="15" t="s">
        <v>863</v>
      </c>
      <c r="C91" s="3" t="s">
        <v>657</v>
      </c>
      <c r="D91" s="11" t="s">
        <v>656</v>
      </c>
      <c r="E91" s="11" t="s">
        <v>264</v>
      </c>
      <c r="F91" s="11" t="s">
        <v>271</v>
      </c>
      <c r="G91" s="1" t="s">
        <v>44</v>
      </c>
      <c r="H91" s="6" t="str">
        <f>HYPERLINK("https://www.bioscidb.com/browse/deal_bg/11874","Deal")</f>
        <v>Deal</v>
      </c>
      <c r="I91" s="4" t="s">
        <v>40</v>
      </c>
      <c r="J91" s="4">
        <v>4</v>
      </c>
      <c r="K91" s="4">
        <v>5</v>
      </c>
      <c r="L91" s="4" t="s">
        <v>40</v>
      </c>
      <c r="M91" s="4">
        <v>5</v>
      </c>
      <c r="N91" s="11" t="s">
        <v>43</v>
      </c>
      <c r="O91" s="1" t="s">
        <v>655</v>
      </c>
      <c r="P91" s="11" t="s">
        <v>658</v>
      </c>
      <c r="Q91" s="1" t="s">
        <v>42</v>
      </c>
      <c r="R91" s="11" t="s">
        <v>68</v>
      </c>
      <c r="S91" s="11" t="s">
        <v>146</v>
      </c>
      <c r="T91" s="11" t="s">
        <v>659</v>
      </c>
      <c r="U91" s="1" t="s">
        <v>63</v>
      </c>
      <c r="V91" s="1" t="s">
        <v>64</v>
      </c>
      <c r="W91" s="4" t="s">
        <v>40</v>
      </c>
      <c r="X91" s="4" t="s">
        <v>40</v>
      </c>
      <c r="Y91" s="4" t="s">
        <v>40</v>
      </c>
      <c r="Z91" s="4">
        <v>0.3</v>
      </c>
      <c r="AA91" s="4" t="s">
        <v>40</v>
      </c>
      <c r="AB91" s="4">
        <v>4</v>
      </c>
      <c r="AC91" s="4" t="s">
        <v>40</v>
      </c>
      <c r="AD91" s="4">
        <v>4</v>
      </c>
      <c r="AE91" s="4" t="s">
        <v>40</v>
      </c>
      <c r="AF91" s="4">
        <v>3</v>
      </c>
      <c r="AG91" s="4">
        <v>3</v>
      </c>
      <c r="AH91" s="4">
        <v>4</v>
      </c>
      <c r="AI91" s="4" t="s">
        <v>40</v>
      </c>
      <c r="AJ91" s="4" t="s">
        <v>40</v>
      </c>
      <c r="AK91" s="4" t="s">
        <v>40</v>
      </c>
      <c r="AL91" s="4" t="s">
        <v>40</v>
      </c>
      <c r="AM91" s="1" t="s">
        <v>40</v>
      </c>
    </row>
    <row r="92" spans="1:39" ht="38.25">
      <c r="A92" s="6" t="str">
        <f>HYPERLINK("https://www.bioscidb.com/tag/gettag/769a0b60-5eda-4220-9e58-9a3c2011882a","Tag")</f>
        <v>Tag</v>
      </c>
      <c r="B92" s="15" t="s">
        <v>864</v>
      </c>
      <c r="C92" s="3" t="s">
        <v>87</v>
      </c>
      <c r="D92" s="11" t="s">
        <v>86</v>
      </c>
      <c r="E92" s="11" t="s">
        <v>75</v>
      </c>
      <c r="F92" s="11" t="s">
        <v>85</v>
      </c>
      <c r="G92" s="1" t="s">
        <v>44</v>
      </c>
      <c r="H92" s="6" t="str">
        <f>HYPERLINK("https://www.bioscidb.com/browse/deal_bg/13322","Deal")</f>
        <v>Deal</v>
      </c>
      <c r="I92" s="4">
        <v>1</v>
      </c>
      <c r="J92" s="4">
        <v>38.75</v>
      </c>
      <c r="K92" s="4">
        <v>5</v>
      </c>
      <c r="L92" s="4" t="s">
        <v>40</v>
      </c>
      <c r="M92" s="4">
        <v>5</v>
      </c>
      <c r="N92" s="11" t="s">
        <v>90</v>
      </c>
      <c r="O92" s="1" t="s">
        <v>91</v>
      </c>
      <c r="P92" s="11" t="s">
        <v>88</v>
      </c>
      <c r="Q92" s="1" t="s">
        <v>89</v>
      </c>
      <c r="R92" s="11" t="s">
        <v>68</v>
      </c>
      <c r="S92" s="11" t="s">
        <v>92</v>
      </c>
      <c r="T92" s="11" t="s">
        <v>93</v>
      </c>
      <c r="U92" s="1" t="s">
        <v>94</v>
      </c>
      <c r="V92" s="1" t="s">
        <v>95</v>
      </c>
      <c r="W92" s="4" t="s">
        <v>40</v>
      </c>
      <c r="X92" s="4" t="s">
        <v>40</v>
      </c>
      <c r="Y92" s="4" t="s">
        <v>40</v>
      </c>
      <c r="Z92" s="4">
        <v>0.25</v>
      </c>
      <c r="AA92" s="4" t="s">
        <v>40</v>
      </c>
      <c r="AB92" s="4">
        <v>17</v>
      </c>
      <c r="AC92" s="4">
        <v>20.75</v>
      </c>
      <c r="AD92" s="4">
        <v>38.75</v>
      </c>
      <c r="AE92" s="4" t="s">
        <v>40</v>
      </c>
      <c r="AF92" s="4">
        <v>3</v>
      </c>
      <c r="AG92" s="4">
        <v>4</v>
      </c>
      <c r="AH92" s="4">
        <v>5</v>
      </c>
      <c r="AI92" s="4" t="s">
        <v>40</v>
      </c>
      <c r="AJ92" s="4" t="s">
        <v>40</v>
      </c>
      <c r="AK92" s="4" t="s">
        <v>40</v>
      </c>
      <c r="AL92" s="4" t="s">
        <v>40</v>
      </c>
      <c r="AM92" s="1" t="s">
        <v>40</v>
      </c>
    </row>
    <row r="93" spans="1:39" ht="25.5">
      <c r="A93" s="6" t="str">
        <f>HYPERLINK("https://www.bioscidb.com/tag/gettag/63a094de-79c7-4a41-b495-1455ed1b47b3","Tag")</f>
        <v>Tag</v>
      </c>
      <c r="B93" s="11" t="s">
        <v>865</v>
      </c>
      <c r="C93" s="3" t="s">
        <v>791</v>
      </c>
      <c r="D93" s="11" t="s">
        <v>785</v>
      </c>
      <c r="E93" s="11" t="s">
        <v>38</v>
      </c>
      <c r="F93" s="11" t="s">
        <v>52</v>
      </c>
      <c r="G93" s="1" t="s">
        <v>44</v>
      </c>
      <c r="H93" s="6" t="str">
        <f>HYPERLINK("https://www.bioscidb.com/browse/deal_bg/9668","Deal")</f>
        <v>Deal</v>
      </c>
      <c r="I93" s="4">
        <v>1</v>
      </c>
      <c r="J93" s="4">
        <v>19.75</v>
      </c>
      <c r="K93" s="4">
        <v>12</v>
      </c>
      <c r="L93" s="4" t="s">
        <v>40</v>
      </c>
      <c r="M93" s="4">
        <v>12</v>
      </c>
      <c r="N93" s="11" t="s">
        <v>788</v>
      </c>
      <c r="O93" s="1" t="s">
        <v>80</v>
      </c>
      <c r="P93" s="11" t="s">
        <v>792</v>
      </c>
      <c r="Q93" s="1" t="s">
        <v>42</v>
      </c>
      <c r="R93" s="11" t="s">
        <v>53</v>
      </c>
      <c r="S93" s="11" t="s">
        <v>188</v>
      </c>
      <c r="T93" s="11" t="s">
        <v>793</v>
      </c>
      <c r="U93" s="1" t="s">
        <v>48</v>
      </c>
      <c r="V93" s="1" t="s">
        <v>49</v>
      </c>
      <c r="W93" s="4" t="s">
        <v>40</v>
      </c>
      <c r="X93" s="4" t="s">
        <v>40</v>
      </c>
      <c r="Y93" s="4" t="s">
        <v>40</v>
      </c>
      <c r="Z93" s="4" t="s">
        <v>40</v>
      </c>
      <c r="AA93" s="4" t="s">
        <v>40</v>
      </c>
      <c r="AB93" s="4">
        <v>11.75</v>
      </c>
      <c r="AC93" s="4" t="s">
        <v>40</v>
      </c>
      <c r="AD93" s="4">
        <v>12.75</v>
      </c>
      <c r="AE93" s="4">
        <v>7</v>
      </c>
      <c r="AF93" s="4">
        <v>7.000000000000001</v>
      </c>
      <c r="AG93" s="4">
        <v>9</v>
      </c>
      <c r="AH93" s="4">
        <v>11</v>
      </c>
      <c r="AI93" s="4" t="s">
        <v>40</v>
      </c>
      <c r="AJ93" s="4" t="s">
        <v>40</v>
      </c>
      <c r="AK93" s="4" t="s">
        <v>40</v>
      </c>
      <c r="AL93" s="4" t="s">
        <v>40</v>
      </c>
      <c r="AM93" s="1" t="s">
        <v>40</v>
      </c>
    </row>
    <row r="94" spans="1:39" ht="25.5">
      <c r="A94" s="6" t="str">
        <f>HYPERLINK("https://www.bioscidb.com/tag/gettag/75f7360c-dcca-40c5-81fd-700900fb5048","Tag")</f>
        <v>Tag</v>
      </c>
      <c r="B94" s="15" t="s">
        <v>827</v>
      </c>
      <c r="C94" s="3" t="s">
        <v>446</v>
      </c>
      <c r="D94" s="11" t="s">
        <v>371</v>
      </c>
      <c r="E94" s="11" t="s">
        <v>445</v>
      </c>
      <c r="F94" s="11" t="s">
        <v>85</v>
      </c>
      <c r="G94" s="1" t="s">
        <v>44</v>
      </c>
      <c r="H94" s="6" t="str">
        <f>HYPERLINK("https://www.bioscidb.com/browse/deal_bg/7907","Deal")</f>
        <v>Deal</v>
      </c>
      <c r="I94" s="4">
        <v>6</v>
      </c>
      <c r="J94" s="4">
        <v>127</v>
      </c>
      <c r="K94" s="4">
        <v>18</v>
      </c>
      <c r="L94" s="4" t="s">
        <v>40</v>
      </c>
      <c r="M94" s="4">
        <v>18</v>
      </c>
      <c r="N94" s="11" t="s">
        <v>65</v>
      </c>
      <c r="O94" s="1" t="s">
        <v>80</v>
      </c>
      <c r="P94" s="11" t="s">
        <v>447</v>
      </c>
      <c r="Q94" s="1" t="s">
        <v>42</v>
      </c>
      <c r="R94" s="11" t="s">
        <v>68</v>
      </c>
      <c r="S94" s="11" t="s">
        <v>375</v>
      </c>
      <c r="T94" s="11" t="s">
        <v>448</v>
      </c>
      <c r="U94" s="1" t="s">
        <v>48</v>
      </c>
      <c r="V94" s="1" t="s">
        <v>49</v>
      </c>
      <c r="W94" s="4" t="s">
        <v>40</v>
      </c>
      <c r="X94" s="4" t="s">
        <v>40</v>
      </c>
      <c r="Y94" s="4" t="s">
        <v>40</v>
      </c>
      <c r="Z94" s="4">
        <v>0.23</v>
      </c>
      <c r="AA94" s="4" t="s">
        <v>40</v>
      </c>
      <c r="AB94" s="4">
        <v>37</v>
      </c>
      <c r="AC94" s="4">
        <v>84</v>
      </c>
      <c r="AD94" s="4">
        <v>127</v>
      </c>
      <c r="AE94" s="4" t="s">
        <v>40</v>
      </c>
      <c r="AF94" s="4">
        <v>9</v>
      </c>
      <c r="AG94" s="4">
        <v>11</v>
      </c>
      <c r="AH94" s="4">
        <v>13</v>
      </c>
      <c r="AI94" s="4">
        <v>25</v>
      </c>
      <c r="AJ94" s="4" t="s">
        <v>40</v>
      </c>
      <c r="AK94" s="4" t="s">
        <v>40</v>
      </c>
      <c r="AL94" s="4" t="s">
        <v>40</v>
      </c>
      <c r="AM94" s="1" t="s">
        <v>449</v>
      </c>
    </row>
    <row r="95" spans="1:39" ht="25.5">
      <c r="A95" s="6" t="str">
        <f>HYPERLINK("https://www.bioscidb.com/tag/gettag/64a575f7-2777-44c1-b3a3-a1def9e848a9","Tag")</f>
        <v>Tag</v>
      </c>
      <c r="B95" s="15" t="s">
        <v>827</v>
      </c>
      <c r="C95" s="3" t="s">
        <v>549</v>
      </c>
      <c r="D95" s="11" t="s">
        <v>548</v>
      </c>
      <c r="E95" s="11" t="s">
        <v>38</v>
      </c>
      <c r="F95" s="11" t="s">
        <v>52</v>
      </c>
      <c r="G95" s="1" t="s">
        <v>44</v>
      </c>
      <c r="H95" s="6" t="str">
        <f>HYPERLINK("https://www.bioscidb.com/browse/deal_bg/13308","Deal")</f>
        <v>Deal</v>
      </c>
      <c r="I95" s="4" t="s">
        <v>40</v>
      </c>
      <c r="J95" s="4">
        <v>18</v>
      </c>
      <c r="K95" s="4">
        <v>8</v>
      </c>
      <c r="L95" s="4" t="s">
        <v>40</v>
      </c>
      <c r="M95" s="4">
        <v>8</v>
      </c>
      <c r="N95" s="11" t="s">
        <v>551</v>
      </c>
      <c r="O95" s="1" t="s">
        <v>155</v>
      </c>
      <c r="P95" s="11" t="s">
        <v>550</v>
      </c>
      <c r="Q95" s="1" t="s">
        <v>42</v>
      </c>
      <c r="R95" s="11" t="s">
        <v>53</v>
      </c>
      <c r="S95" s="11" t="s">
        <v>552</v>
      </c>
      <c r="T95" s="11" t="s">
        <v>553</v>
      </c>
      <c r="U95" s="1" t="s">
        <v>48</v>
      </c>
      <c r="V95" s="1" t="s">
        <v>49</v>
      </c>
      <c r="W95" s="4" t="s">
        <v>40</v>
      </c>
      <c r="X95" s="4" t="s">
        <v>40</v>
      </c>
      <c r="Y95" s="4" t="s">
        <v>40</v>
      </c>
      <c r="Z95" s="4" t="s">
        <v>40</v>
      </c>
      <c r="AA95" s="4" t="s">
        <v>40</v>
      </c>
      <c r="AB95" s="4">
        <v>18</v>
      </c>
      <c r="AC95" s="4" t="s">
        <v>40</v>
      </c>
      <c r="AD95" s="4">
        <v>18</v>
      </c>
      <c r="AE95" s="4" t="s">
        <v>40</v>
      </c>
      <c r="AF95" s="4">
        <v>8</v>
      </c>
      <c r="AG95" s="4">
        <v>8</v>
      </c>
      <c r="AH95" s="4">
        <v>8</v>
      </c>
      <c r="AI95" s="4" t="s">
        <v>40</v>
      </c>
      <c r="AJ95" s="4" t="s">
        <v>40</v>
      </c>
      <c r="AK95" s="4" t="s">
        <v>40</v>
      </c>
      <c r="AL95" s="4" t="s">
        <v>40</v>
      </c>
      <c r="AM95" s="1" t="s">
        <v>40</v>
      </c>
    </row>
    <row r="96" spans="1:39" ht="25.5">
      <c r="A96" s="6" t="str">
        <f>HYPERLINK("https://www.bioscidb.com/tag/gettag/176341ad-467f-4eff-be45-739202745db2","Tag")</f>
        <v>Tag</v>
      </c>
      <c r="B96" s="15" t="s">
        <v>847</v>
      </c>
      <c r="C96" s="3" t="s">
        <v>97</v>
      </c>
      <c r="D96" s="11" t="s">
        <v>96</v>
      </c>
      <c r="E96" s="11" t="s">
        <v>75</v>
      </c>
      <c r="F96" s="11" t="s">
        <v>85</v>
      </c>
      <c r="G96" s="1" t="s">
        <v>44</v>
      </c>
      <c r="H96" s="6" t="str">
        <f>HYPERLINK("https://www.bioscidb.com/browse/deal_bg/390","Deal")</f>
        <v>Deal</v>
      </c>
      <c r="I96" s="4">
        <v>0.5</v>
      </c>
      <c r="J96" s="4">
        <v>62.88</v>
      </c>
      <c r="K96" s="4">
        <v>9</v>
      </c>
      <c r="L96" s="4" t="s">
        <v>40</v>
      </c>
      <c r="M96" s="4">
        <v>9</v>
      </c>
      <c r="N96" s="11" t="s">
        <v>99</v>
      </c>
      <c r="O96" s="1" t="s">
        <v>100</v>
      </c>
      <c r="P96" s="11" t="s">
        <v>98</v>
      </c>
      <c r="Q96" s="1" t="s">
        <v>42</v>
      </c>
      <c r="R96" s="11" t="s">
        <v>68</v>
      </c>
      <c r="S96" s="11" t="s">
        <v>101</v>
      </c>
      <c r="T96" s="11" t="s">
        <v>102</v>
      </c>
      <c r="U96" s="1" t="s">
        <v>103</v>
      </c>
      <c r="V96" s="1" t="s">
        <v>104</v>
      </c>
      <c r="W96" s="4" t="s">
        <v>40</v>
      </c>
      <c r="X96" s="4" t="s">
        <v>40</v>
      </c>
      <c r="Y96" s="4">
        <v>1.38</v>
      </c>
      <c r="Z96" s="4">
        <v>0.28</v>
      </c>
      <c r="AA96" s="4" t="s">
        <v>40</v>
      </c>
      <c r="AB96" s="4">
        <v>25</v>
      </c>
      <c r="AC96" s="4">
        <v>36</v>
      </c>
      <c r="AD96" s="4">
        <v>62.88</v>
      </c>
      <c r="AE96" s="4" t="s">
        <v>40</v>
      </c>
      <c r="AF96" s="4">
        <v>7.000000000000001</v>
      </c>
      <c r="AG96" s="4">
        <v>7.000000000000001</v>
      </c>
      <c r="AH96" s="4">
        <v>7.000000000000001</v>
      </c>
      <c r="AI96" s="4" t="s">
        <v>40</v>
      </c>
      <c r="AJ96" s="4" t="s">
        <v>40</v>
      </c>
      <c r="AK96" s="4" t="s">
        <v>40</v>
      </c>
      <c r="AL96" s="4" t="s">
        <v>40</v>
      </c>
      <c r="AM96" s="1" t="s">
        <v>40</v>
      </c>
    </row>
    <row r="97" spans="1:39" ht="25.5">
      <c r="A97" s="6" t="str">
        <f>HYPERLINK("https://www.bioscidb.com/tag/gettag/010f5579-357a-4e24-8d1a-2f86775c7e37","Tag")</f>
        <v>Tag</v>
      </c>
      <c r="B97" s="15" t="s">
        <v>827</v>
      </c>
      <c r="C97" s="3" t="s">
        <v>273</v>
      </c>
      <c r="D97" s="11" t="s">
        <v>272</v>
      </c>
      <c r="E97" s="11" t="s">
        <v>75</v>
      </c>
      <c r="F97" s="11" t="s">
        <v>85</v>
      </c>
      <c r="G97" s="1" t="s">
        <v>44</v>
      </c>
      <c r="H97" s="6" t="str">
        <f>HYPERLINK("https://www.bioscidb.com/browse/deal_bg/3807","Deal")</f>
        <v>Deal</v>
      </c>
      <c r="I97" s="4">
        <v>9.25</v>
      </c>
      <c r="J97" s="4">
        <v>62.8</v>
      </c>
      <c r="K97" s="4">
        <v>7.000000000000001</v>
      </c>
      <c r="L97" s="4">
        <v>5</v>
      </c>
      <c r="M97" s="4">
        <v>7.000000000000001</v>
      </c>
      <c r="N97" s="11" t="s">
        <v>275</v>
      </c>
      <c r="O97" s="1" t="s">
        <v>110</v>
      </c>
      <c r="P97" s="11" t="s">
        <v>274</v>
      </c>
      <c r="Q97" s="1" t="s">
        <v>42</v>
      </c>
      <c r="R97" s="11" t="s">
        <v>68</v>
      </c>
      <c r="S97" s="11" t="s">
        <v>111</v>
      </c>
      <c r="T97" s="11" t="s">
        <v>112</v>
      </c>
      <c r="U97" s="1" t="s">
        <v>276</v>
      </c>
      <c r="V97" s="1" t="s">
        <v>277</v>
      </c>
      <c r="W97" s="4">
        <v>5</v>
      </c>
      <c r="X97" s="4" t="s">
        <v>40</v>
      </c>
      <c r="Y97" s="4">
        <v>6</v>
      </c>
      <c r="Z97" s="4">
        <v>0.3</v>
      </c>
      <c r="AA97" s="4" t="s">
        <v>40</v>
      </c>
      <c r="AB97" s="4">
        <v>42.55</v>
      </c>
      <c r="AC97" s="4" t="s">
        <v>40</v>
      </c>
      <c r="AD97" s="4">
        <v>62.8</v>
      </c>
      <c r="AE97" s="4" t="s">
        <v>40</v>
      </c>
      <c r="AF97" s="4">
        <v>5</v>
      </c>
      <c r="AG97" s="4">
        <v>6</v>
      </c>
      <c r="AH97" s="4">
        <v>6</v>
      </c>
      <c r="AI97" s="4" t="s">
        <v>40</v>
      </c>
      <c r="AJ97" s="4" t="s">
        <v>40</v>
      </c>
      <c r="AK97" s="4" t="s">
        <v>40</v>
      </c>
      <c r="AL97" s="4" t="s">
        <v>40</v>
      </c>
      <c r="AM97" s="1" t="s">
        <v>278</v>
      </c>
    </row>
    <row r="98" spans="1:39" ht="25.5">
      <c r="A98" s="6" t="str">
        <f>HYPERLINK("https://www.bioscidb.com/tag/gettag/b6af4400-bdf5-4d20-b780-8d82649385b6","Tag")</f>
        <v>Tag</v>
      </c>
      <c r="B98" s="15" t="s">
        <v>827</v>
      </c>
      <c r="C98" s="3" t="s">
        <v>273</v>
      </c>
      <c r="D98" s="11" t="s">
        <v>450</v>
      </c>
      <c r="E98" s="11" t="s">
        <v>75</v>
      </c>
      <c r="F98" s="11" t="s">
        <v>85</v>
      </c>
      <c r="G98" s="1" t="s">
        <v>44</v>
      </c>
      <c r="H98" s="6" t="str">
        <f>HYPERLINK("https://www.bioscidb.com/browse/deal_bg/3730","Deal")</f>
        <v>Deal</v>
      </c>
      <c r="I98" s="4">
        <v>22</v>
      </c>
      <c r="J98" s="4">
        <v>344.8</v>
      </c>
      <c r="K98" s="4">
        <v>12</v>
      </c>
      <c r="L98" s="4">
        <v>15</v>
      </c>
      <c r="M98" s="4">
        <v>12</v>
      </c>
      <c r="N98" s="11" t="s">
        <v>452</v>
      </c>
      <c r="O98" s="1" t="s">
        <v>145</v>
      </c>
      <c r="P98" s="11" t="s">
        <v>451</v>
      </c>
      <c r="Q98" s="1" t="s">
        <v>42</v>
      </c>
      <c r="R98" s="11" t="s">
        <v>68</v>
      </c>
      <c r="S98" s="11" t="s">
        <v>453</v>
      </c>
      <c r="T98" s="11" t="s">
        <v>454</v>
      </c>
      <c r="U98" s="1" t="s">
        <v>455</v>
      </c>
      <c r="V98" s="1" t="s">
        <v>40</v>
      </c>
      <c r="W98" s="4">
        <v>15</v>
      </c>
      <c r="X98" s="4" t="s">
        <v>40</v>
      </c>
      <c r="Y98" s="4">
        <v>9.8</v>
      </c>
      <c r="Z98" s="4">
        <v>0.28</v>
      </c>
      <c r="AA98" s="4" t="s">
        <v>40</v>
      </c>
      <c r="AB98" s="4">
        <v>118</v>
      </c>
      <c r="AC98" s="4">
        <v>155</v>
      </c>
      <c r="AD98" s="4">
        <v>319.8</v>
      </c>
      <c r="AE98" s="4">
        <v>25</v>
      </c>
      <c r="AF98" s="4">
        <v>10</v>
      </c>
      <c r="AG98" s="4">
        <v>10</v>
      </c>
      <c r="AH98" s="4">
        <v>11</v>
      </c>
      <c r="AI98" s="4" t="s">
        <v>40</v>
      </c>
      <c r="AJ98" s="4" t="s">
        <v>40</v>
      </c>
      <c r="AK98" s="4" t="s">
        <v>40</v>
      </c>
      <c r="AL98" s="4" t="s">
        <v>40</v>
      </c>
      <c r="AM98" s="1" t="s">
        <v>40</v>
      </c>
    </row>
    <row r="99" spans="1:39" ht="25.5">
      <c r="A99" s="6" t="str">
        <f>HYPERLINK("https://www.bioscidb.com/tag/gettag/a3ad469b-f6e2-4f0b-be07-d89bca12d44b","Tag")</f>
        <v>Tag</v>
      </c>
      <c r="B99" s="11" t="s">
        <v>862</v>
      </c>
      <c r="C99" s="3" t="s">
        <v>107</v>
      </c>
      <c r="D99" s="11" t="s">
        <v>105</v>
      </c>
      <c r="E99" s="11" t="s">
        <v>106</v>
      </c>
      <c r="F99" s="11" t="s">
        <v>85</v>
      </c>
      <c r="G99" s="1" t="s">
        <v>44</v>
      </c>
      <c r="H99" s="6" t="str">
        <f>HYPERLINK("https://www.bioscidb.com/browse/deal_bg/1055","Deal")</f>
        <v>Deal</v>
      </c>
      <c r="I99" s="4" t="s">
        <v>40</v>
      </c>
      <c r="J99" s="4">
        <v>151</v>
      </c>
      <c r="K99" s="4">
        <v>12</v>
      </c>
      <c r="L99" s="4">
        <v>100</v>
      </c>
      <c r="M99" s="4">
        <v>12</v>
      </c>
      <c r="N99" s="11" t="s">
        <v>109</v>
      </c>
      <c r="O99" s="1" t="s">
        <v>110</v>
      </c>
      <c r="P99" s="11" t="s">
        <v>108</v>
      </c>
      <c r="Q99" s="1" t="s">
        <v>42</v>
      </c>
      <c r="R99" s="11" t="s">
        <v>68</v>
      </c>
      <c r="S99" s="11" t="s">
        <v>111</v>
      </c>
      <c r="T99" s="11" t="s">
        <v>112</v>
      </c>
      <c r="U99" s="1" t="s">
        <v>113</v>
      </c>
      <c r="V99" s="1" t="s">
        <v>114</v>
      </c>
      <c r="W99" s="4">
        <v>100</v>
      </c>
      <c r="X99" s="4">
        <v>60</v>
      </c>
      <c r="Y99" s="4" t="s">
        <v>40</v>
      </c>
      <c r="Z99" s="4" t="s">
        <v>40</v>
      </c>
      <c r="AA99" s="4" t="s">
        <v>40</v>
      </c>
      <c r="AB99" s="4">
        <v>51</v>
      </c>
      <c r="AC99" s="4" t="s">
        <v>40</v>
      </c>
      <c r="AD99" s="4">
        <v>211</v>
      </c>
      <c r="AE99" s="4" t="s">
        <v>40</v>
      </c>
      <c r="AF99" s="4">
        <v>8</v>
      </c>
      <c r="AG99" s="4">
        <v>9</v>
      </c>
      <c r="AH99" s="4">
        <v>11</v>
      </c>
      <c r="AI99" s="4" t="s">
        <v>40</v>
      </c>
      <c r="AJ99" s="4" t="s">
        <v>40</v>
      </c>
      <c r="AK99" s="4">
        <v>18</v>
      </c>
      <c r="AL99" s="4" t="s">
        <v>40</v>
      </c>
      <c r="AM99" s="1" t="s">
        <v>115</v>
      </c>
    </row>
    <row r="100" spans="1:39" ht="38.25">
      <c r="A100" s="6" t="str">
        <f>HYPERLINK("https://www.bioscidb.com/tag/gettag/8b0198e0-5de2-4163-a29d-791404ab1877","Tag")</f>
        <v>Tag</v>
      </c>
      <c r="B100" s="11" t="s">
        <v>866</v>
      </c>
      <c r="C100" s="3" t="s">
        <v>107</v>
      </c>
      <c r="D100" s="11" t="s">
        <v>554</v>
      </c>
      <c r="E100" s="11" t="s">
        <v>555</v>
      </c>
      <c r="F100" s="11" t="s">
        <v>85</v>
      </c>
      <c r="G100" s="1" t="s">
        <v>44</v>
      </c>
      <c r="H100" s="6" t="str">
        <f>HYPERLINK("https://www.bioscidb.com/browse/deal_bg/2756","Deal")</f>
        <v>Deal</v>
      </c>
      <c r="I100" s="4">
        <v>25</v>
      </c>
      <c r="J100" s="4">
        <v>570</v>
      </c>
      <c r="K100" s="4">
        <v>50</v>
      </c>
      <c r="L100" s="4" t="s">
        <v>40</v>
      </c>
      <c r="M100" s="4">
        <v>20</v>
      </c>
      <c r="N100" s="11" t="s">
        <v>557</v>
      </c>
      <c r="O100" s="1" t="s">
        <v>427</v>
      </c>
      <c r="P100" s="11" t="s">
        <v>556</v>
      </c>
      <c r="Q100" s="1" t="s">
        <v>42</v>
      </c>
      <c r="R100" s="11" t="s">
        <v>68</v>
      </c>
      <c r="S100" s="11" t="s">
        <v>46</v>
      </c>
      <c r="T100" s="11" t="s">
        <v>558</v>
      </c>
      <c r="U100" s="1" t="s">
        <v>559</v>
      </c>
      <c r="V100" s="1" t="s">
        <v>40</v>
      </c>
      <c r="W100" s="4">
        <v>20</v>
      </c>
      <c r="X100" s="4" t="s">
        <v>40</v>
      </c>
      <c r="Y100" s="4" t="s">
        <v>40</v>
      </c>
      <c r="Z100" s="4" t="s">
        <v>40</v>
      </c>
      <c r="AA100" s="4" t="s">
        <v>40</v>
      </c>
      <c r="AB100" s="4">
        <v>108.5</v>
      </c>
      <c r="AC100" s="4">
        <v>96.5</v>
      </c>
      <c r="AD100" s="4">
        <v>250</v>
      </c>
      <c r="AE100" s="4">
        <v>320</v>
      </c>
      <c r="AF100" s="4">
        <v>14.000000000000002</v>
      </c>
      <c r="AG100" s="4">
        <v>15</v>
      </c>
      <c r="AH100" s="4">
        <v>17</v>
      </c>
      <c r="AI100" s="4" t="s">
        <v>40</v>
      </c>
      <c r="AJ100" s="4" t="s">
        <v>40</v>
      </c>
      <c r="AK100" s="4" t="s">
        <v>40</v>
      </c>
      <c r="AL100" s="4">
        <v>50</v>
      </c>
      <c r="AM100" s="1" t="s">
        <v>40</v>
      </c>
    </row>
    <row r="101" spans="1:39" ht="25.5">
      <c r="A101" s="6" t="str">
        <f>HYPERLINK("https://www.bioscidb.com/tag/gettag/83ea8d02-3993-4cd6-9328-9274b08d231b","Tag")</f>
        <v>Tag</v>
      </c>
      <c r="B101" s="15" t="s">
        <v>827</v>
      </c>
      <c r="C101" s="3" t="s">
        <v>456</v>
      </c>
      <c r="D101" s="11" t="s">
        <v>395</v>
      </c>
      <c r="E101" s="11" t="s">
        <v>75</v>
      </c>
      <c r="F101" s="11" t="s">
        <v>85</v>
      </c>
      <c r="G101" s="1" t="s">
        <v>44</v>
      </c>
      <c r="H101" s="6" t="str">
        <f>HYPERLINK("https://www.bioscidb.com/browse/deal_bg/28","Deal")</f>
        <v>Deal</v>
      </c>
      <c r="I101" s="4">
        <v>4</v>
      </c>
      <c r="J101" s="4">
        <v>16</v>
      </c>
      <c r="K101" s="4">
        <v>50</v>
      </c>
      <c r="L101" s="4">
        <v>10</v>
      </c>
      <c r="M101" s="4">
        <v>15</v>
      </c>
      <c r="N101" s="11" t="s">
        <v>458</v>
      </c>
      <c r="O101" s="1" t="s">
        <v>110</v>
      </c>
      <c r="P101" s="11" t="s">
        <v>457</v>
      </c>
      <c r="Q101" s="1" t="s">
        <v>42</v>
      </c>
      <c r="R101" s="11" t="s">
        <v>68</v>
      </c>
      <c r="S101" s="11" t="s">
        <v>393</v>
      </c>
      <c r="T101" s="11" t="s">
        <v>40</v>
      </c>
      <c r="U101" s="1" t="s">
        <v>166</v>
      </c>
      <c r="V101" s="1" t="s">
        <v>213</v>
      </c>
      <c r="W101" s="4">
        <v>5</v>
      </c>
      <c r="X101" s="4">
        <v>5</v>
      </c>
      <c r="Y101" s="4" t="s">
        <v>40</v>
      </c>
      <c r="Z101" s="4" t="s">
        <v>40</v>
      </c>
      <c r="AA101" s="4" t="s">
        <v>40</v>
      </c>
      <c r="AB101" s="4">
        <v>2</v>
      </c>
      <c r="AC101" s="4" t="s">
        <v>40</v>
      </c>
      <c r="AD101" s="4">
        <v>16</v>
      </c>
      <c r="AE101" s="4" t="s">
        <v>40</v>
      </c>
      <c r="AF101" s="4">
        <v>10</v>
      </c>
      <c r="AG101" s="4">
        <v>12</v>
      </c>
      <c r="AH101" s="4">
        <v>13</v>
      </c>
      <c r="AI101" s="4" t="s">
        <v>40</v>
      </c>
      <c r="AJ101" s="4" t="s">
        <v>40</v>
      </c>
      <c r="AK101" s="4" t="s">
        <v>40</v>
      </c>
      <c r="AL101" s="4">
        <v>50</v>
      </c>
      <c r="AM101" s="1" t="s">
        <v>459</v>
      </c>
    </row>
    <row r="102" spans="1:39" ht="12.75">
      <c r="A102" s="6" t="str">
        <f>HYPERLINK("https://www.bioscidb.com/tag/gettag/9a0a2154-68db-46cd-af74-c24a929eb4c4","Tag")</f>
        <v>Tag</v>
      </c>
      <c r="B102" s="11" t="s">
        <v>867</v>
      </c>
      <c r="C102" s="3" t="s">
        <v>456</v>
      </c>
      <c r="D102" s="11" t="s">
        <v>460</v>
      </c>
      <c r="E102" s="11" t="s">
        <v>326</v>
      </c>
      <c r="F102" s="11" t="s">
        <v>85</v>
      </c>
      <c r="G102" s="1" t="s">
        <v>44</v>
      </c>
      <c r="H102" s="6" t="str">
        <f>HYPERLINK("https://www.bioscidb.com/browse/deal_bg/2741","Deal")</f>
        <v>Deal</v>
      </c>
      <c r="I102" s="4">
        <v>0.5</v>
      </c>
      <c r="J102" s="4">
        <v>6</v>
      </c>
      <c r="K102" s="4">
        <v>3</v>
      </c>
      <c r="L102" s="4" t="s">
        <v>40</v>
      </c>
      <c r="M102" s="4">
        <v>3</v>
      </c>
      <c r="N102" s="11" t="s">
        <v>420</v>
      </c>
      <c r="O102" s="1" t="s">
        <v>267</v>
      </c>
      <c r="P102" s="11" t="s">
        <v>461</v>
      </c>
      <c r="Q102" s="1" t="s">
        <v>42</v>
      </c>
      <c r="R102" s="11" t="s">
        <v>463</v>
      </c>
      <c r="S102" s="11" t="s">
        <v>81</v>
      </c>
      <c r="T102" s="11" t="s">
        <v>334</v>
      </c>
      <c r="U102" s="1" t="s">
        <v>63</v>
      </c>
      <c r="V102" s="1" t="s">
        <v>462</v>
      </c>
      <c r="W102" s="4" t="s">
        <v>40</v>
      </c>
      <c r="X102" s="4" t="s">
        <v>40</v>
      </c>
      <c r="Y102" s="4" t="s">
        <v>40</v>
      </c>
      <c r="Z102" s="4">
        <v>0.24</v>
      </c>
      <c r="AA102" s="4" t="s">
        <v>40</v>
      </c>
      <c r="AB102" s="4">
        <v>5.5</v>
      </c>
      <c r="AC102" s="4" t="s">
        <v>40</v>
      </c>
      <c r="AD102" s="4">
        <v>6</v>
      </c>
      <c r="AE102" s="4" t="s">
        <v>40</v>
      </c>
      <c r="AF102" s="4">
        <v>2</v>
      </c>
      <c r="AG102" s="4">
        <v>3</v>
      </c>
      <c r="AH102" s="4">
        <v>3</v>
      </c>
      <c r="AI102" s="4" t="s">
        <v>40</v>
      </c>
      <c r="AJ102" s="4" t="s">
        <v>40</v>
      </c>
      <c r="AK102" s="4">
        <v>20</v>
      </c>
      <c r="AL102" s="4" t="s">
        <v>40</v>
      </c>
      <c r="AM102" s="1" t="s">
        <v>40</v>
      </c>
    </row>
    <row r="103" spans="1:39" ht="25.5">
      <c r="A103" s="6" t="str">
        <f>HYPERLINK("https://www.bioscidb.com/tag/gettag/33559574-5806-4881-a9f6-148824492123","Tag")</f>
        <v>Tag</v>
      </c>
      <c r="B103" s="15" t="s">
        <v>827</v>
      </c>
      <c r="C103" s="3" t="s">
        <v>302</v>
      </c>
      <c r="D103" s="11" t="s">
        <v>464</v>
      </c>
      <c r="E103" s="11" t="s">
        <v>465</v>
      </c>
      <c r="F103" s="11" t="s">
        <v>52</v>
      </c>
      <c r="G103" s="1" t="s">
        <v>44</v>
      </c>
      <c r="H103" s="6" t="str">
        <f>HYPERLINK("https://www.bioscidb.com/browse/deal_bg/8268","Deal")</f>
        <v>Deal</v>
      </c>
      <c r="I103" s="4">
        <v>0.1</v>
      </c>
      <c r="J103" s="4">
        <v>27</v>
      </c>
      <c r="K103" s="4">
        <v>6</v>
      </c>
      <c r="L103" s="4" t="s">
        <v>40</v>
      </c>
      <c r="M103" s="4">
        <v>6</v>
      </c>
      <c r="N103" s="11" t="s">
        <v>43</v>
      </c>
      <c r="O103" s="1" t="s">
        <v>132</v>
      </c>
      <c r="P103" s="11" t="s">
        <v>466</v>
      </c>
      <c r="Q103" s="1" t="s">
        <v>42</v>
      </c>
      <c r="R103" s="11" t="s">
        <v>68</v>
      </c>
      <c r="S103" s="11" t="s">
        <v>111</v>
      </c>
      <c r="T103" s="11" t="s">
        <v>467</v>
      </c>
      <c r="U103" s="1" t="s">
        <v>48</v>
      </c>
      <c r="V103" s="1" t="s">
        <v>49</v>
      </c>
      <c r="W103" s="4" t="s">
        <v>40</v>
      </c>
      <c r="X103" s="4" t="s">
        <v>40</v>
      </c>
      <c r="Y103" s="4" t="s">
        <v>40</v>
      </c>
      <c r="Z103" s="4" t="s">
        <v>40</v>
      </c>
      <c r="AA103" s="4" t="s">
        <v>40</v>
      </c>
      <c r="AB103" s="4">
        <v>9.4</v>
      </c>
      <c r="AC103" s="4" t="s">
        <v>40</v>
      </c>
      <c r="AD103" s="4">
        <v>9.5</v>
      </c>
      <c r="AE103" s="4">
        <v>17.5</v>
      </c>
      <c r="AF103" s="4">
        <v>6</v>
      </c>
      <c r="AG103" s="4">
        <v>6</v>
      </c>
      <c r="AH103" s="4">
        <v>6</v>
      </c>
      <c r="AI103" s="4" t="s">
        <v>40</v>
      </c>
      <c r="AJ103" s="4" t="s">
        <v>40</v>
      </c>
      <c r="AK103" s="4" t="s">
        <v>40</v>
      </c>
      <c r="AL103" s="4" t="s">
        <v>40</v>
      </c>
      <c r="AM103" s="1" t="s">
        <v>40</v>
      </c>
    </row>
    <row r="104" spans="1:39" ht="25.5">
      <c r="A104" s="6" t="str">
        <f>HYPERLINK("https://www.bioscidb.com/tag/gettag/7832dbac-313e-48f4-bee8-e8d346e95341","Tag")</f>
        <v>Tag</v>
      </c>
      <c r="B104" s="15" t="s">
        <v>827</v>
      </c>
      <c r="C104" s="3" t="s">
        <v>302</v>
      </c>
      <c r="D104" s="11" t="s">
        <v>117</v>
      </c>
      <c r="E104" s="11" t="s">
        <v>301</v>
      </c>
      <c r="F104" s="11" t="s">
        <v>237</v>
      </c>
      <c r="G104" s="1" t="s">
        <v>44</v>
      </c>
      <c r="H104" s="6" t="str">
        <f>HYPERLINK("https://www.bioscidb.com/browse/deal_bg/663","Deal")</f>
        <v>Deal</v>
      </c>
      <c r="I104" s="4">
        <v>3.5</v>
      </c>
      <c r="J104" s="4">
        <v>31</v>
      </c>
      <c r="K104" s="4">
        <v>11</v>
      </c>
      <c r="L104" s="4" t="s">
        <v>40</v>
      </c>
      <c r="M104" s="4">
        <v>11</v>
      </c>
      <c r="N104" s="11" t="s">
        <v>43</v>
      </c>
      <c r="O104" s="1" t="s">
        <v>80</v>
      </c>
      <c r="P104" s="11" t="s">
        <v>303</v>
      </c>
      <c r="Q104" s="1" t="s">
        <v>42</v>
      </c>
      <c r="R104" s="11" t="s">
        <v>53</v>
      </c>
      <c r="S104" s="11" t="s">
        <v>101</v>
      </c>
      <c r="T104" s="11" t="s">
        <v>304</v>
      </c>
      <c r="U104" s="1" t="s">
        <v>48</v>
      </c>
      <c r="V104" s="1" t="s">
        <v>49</v>
      </c>
      <c r="W104" s="4" t="s">
        <v>40</v>
      </c>
      <c r="X104" s="4" t="s">
        <v>40</v>
      </c>
      <c r="Y104" s="4" t="s">
        <v>40</v>
      </c>
      <c r="Z104" s="4" t="s">
        <v>40</v>
      </c>
      <c r="AA104" s="4" t="s">
        <v>40</v>
      </c>
      <c r="AB104" s="4">
        <v>27.5</v>
      </c>
      <c r="AC104" s="4" t="s">
        <v>40</v>
      </c>
      <c r="AD104" s="4">
        <v>31</v>
      </c>
      <c r="AE104" s="4" t="s">
        <v>40</v>
      </c>
      <c r="AF104" s="4">
        <v>11</v>
      </c>
      <c r="AG104" s="4">
        <v>11</v>
      </c>
      <c r="AH104" s="4">
        <v>11</v>
      </c>
      <c r="AI104" s="4" t="s">
        <v>40</v>
      </c>
      <c r="AJ104" s="4" t="s">
        <v>40</v>
      </c>
      <c r="AK104" s="4" t="s">
        <v>40</v>
      </c>
      <c r="AL104" s="4" t="s">
        <v>40</v>
      </c>
      <c r="AM104" s="1" t="s">
        <v>40</v>
      </c>
    </row>
    <row r="105" spans="1:39" ht="12.75">
      <c r="A105" s="6" t="str">
        <f>HYPERLINK("https://www.bioscidb.com/tag/gettag/ec05220f-9413-4e0c-91ca-3685d56f2ede","Tag")</f>
        <v>Tag</v>
      </c>
      <c r="B105" s="15" t="s">
        <v>827</v>
      </c>
      <c r="C105" s="3" t="s">
        <v>795</v>
      </c>
      <c r="D105" s="11" t="s">
        <v>794</v>
      </c>
      <c r="E105" s="11" t="s">
        <v>117</v>
      </c>
      <c r="F105" s="11" t="s">
        <v>85</v>
      </c>
      <c r="G105" s="1" t="s">
        <v>44</v>
      </c>
      <c r="H105" s="6" t="str">
        <f>HYPERLINK("https://www.bioscidb.com/browse/deal_bg/2769","Deal")</f>
        <v>Deal</v>
      </c>
      <c r="I105" s="4">
        <v>5</v>
      </c>
      <c r="J105" s="4">
        <v>107</v>
      </c>
      <c r="K105" s="4">
        <v>10</v>
      </c>
      <c r="L105" s="4" t="s">
        <v>40</v>
      </c>
      <c r="M105" s="4">
        <v>10</v>
      </c>
      <c r="N105" s="11" t="s">
        <v>43</v>
      </c>
      <c r="O105" s="1" t="s">
        <v>655</v>
      </c>
      <c r="P105" s="11" t="s">
        <v>796</v>
      </c>
      <c r="Q105" s="1" t="s">
        <v>42</v>
      </c>
      <c r="R105" s="11" t="s">
        <v>68</v>
      </c>
      <c r="S105" s="11" t="s">
        <v>73</v>
      </c>
      <c r="T105" s="11" t="s">
        <v>74</v>
      </c>
      <c r="U105" s="1" t="s">
        <v>63</v>
      </c>
      <c r="V105" s="1" t="s">
        <v>797</v>
      </c>
      <c r="W105" s="4" t="s">
        <v>40</v>
      </c>
      <c r="X105" s="4" t="s">
        <v>40</v>
      </c>
      <c r="Y105" s="4" t="s">
        <v>40</v>
      </c>
      <c r="Z105" s="4" t="s">
        <v>40</v>
      </c>
      <c r="AA105" s="4" t="s">
        <v>40</v>
      </c>
      <c r="AB105" s="4">
        <v>52</v>
      </c>
      <c r="AC105" s="4" t="s">
        <v>40</v>
      </c>
      <c r="AD105" s="4">
        <v>57</v>
      </c>
      <c r="AE105" s="4">
        <v>50</v>
      </c>
      <c r="AF105" s="4">
        <v>5</v>
      </c>
      <c r="AG105" s="4">
        <v>6</v>
      </c>
      <c r="AH105" s="4">
        <v>7.000000000000001</v>
      </c>
      <c r="AI105" s="4" t="s">
        <v>40</v>
      </c>
      <c r="AJ105" s="4" t="s">
        <v>40</v>
      </c>
      <c r="AK105" s="4" t="s">
        <v>40</v>
      </c>
      <c r="AL105" s="4" t="s">
        <v>40</v>
      </c>
      <c r="AM105" s="1" t="s">
        <v>40</v>
      </c>
    </row>
    <row r="106" spans="1:39" ht="12.75">
      <c r="A106" s="6" t="str">
        <f>HYPERLINK("https://www.bioscidb.com/tag/gettag/3176ceec-4dde-4bab-97af-841ba76fe0f2","Tag")</f>
        <v>Tag</v>
      </c>
      <c r="B106" s="15" t="s">
        <v>827</v>
      </c>
      <c r="C106" s="3" t="s">
        <v>799</v>
      </c>
      <c r="D106" s="11" t="s">
        <v>798</v>
      </c>
      <c r="E106" s="11" t="s">
        <v>38</v>
      </c>
      <c r="F106" s="11" t="s">
        <v>52</v>
      </c>
      <c r="G106" s="1" t="s">
        <v>44</v>
      </c>
      <c r="H106" s="6" t="str">
        <f>HYPERLINK("https://www.bioscidb.com/browse/deal_bg/17511","Deal")</f>
        <v>Deal</v>
      </c>
      <c r="I106" s="4">
        <v>0.2</v>
      </c>
      <c r="J106" s="4">
        <v>9.95</v>
      </c>
      <c r="K106" s="4">
        <v>5</v>
      </c>
      <c r="L106" s="4" t="s">
        <v>40</v>
      </c>
      <c r="M106" s="4">
        <v>5</v>
      </c>
      <c r="N106" s="11" t="s">
        <v>43</v>
      </c>
      <c r="O106" s="1" t="s">
        <v>45</v>
      </c>
      <c r="P106" s="11" t="s">
        <v>800</v>
      </c>
      <c r="Q106" s="1" t="s">
        <v>42</v>
      </c>
      <c r="R106" s="11" t="s">
        <v>68</v>
      </c>
      <c r="S106" s="11" t="s">
        <v>393</v>
      </c>
      <c r="T106" s="11" t="s">
        <v>40</v>
      </c>
      <c r="U106" s="1" t="s">
        <v>394</v>
      </c>
      <c r="V106" s="1" t="s">
        <v>40</v>
      </c>
      <c r="W106" s="4" t="s">
        <v>40</v>
      </c>
      <c r="X106" s="4" t="s">
        <v>40</v>
      </c>
      <c r="Y106" s="4" t="s">
        <v>40</v>
      </c>
      <c r="Z106" s="4" t="s">
        <v>40</v>
      </c>
      <c r="AA106" s="4" t="s">
        <v>40</v>
      </c>
      <c r="AB106" s="4">
        <v>9.75</v>
      </c>
      <c r="AC106" s="4" t="s">
        <v>40</v>
      </c>
      <c r="AD106" s="4">
        <v>9.95</v>
      </c>
      <c r="AE106" s="4" t="s">
        <v>40</v>
      </c>
      <c r="AF106" s="4">
        <v>4</v>
      </c>
      <c r="AG106" s="4">
        <v>5</v>
      </c>
      <c r="AH106" s="4">
        <v>5</v>
      </c>
      <c r="AI106" s="4" t="s">
        <v>40</v>
      </c>
      <c r="AJ106" s="4" t="s">
        <v>40</v>
      </c>
      <c r="AK106" s="4" t="s">
        <v>40</v>
      </c>
      <c r="AL106" s="4" t="s">
        <v>40</v>
      </c>
      <c r="AM106" s="1" t="s">
        <v>40</v>
      </c>
    </row>
    <row r="107" spans="1:39" ht="25.5">
      <c r="A107" s="6" t="str">
        <f>HYPERLINK("https://www.bioscidb.com/tag/gettag/c49f7102-9128-4fa6-baa5-3787c762cccc","Tag")</f>
        <v>Tag</v>
      </c>
      <c r="B107" s="15" t="s">
        <v>847</v>
      </c>
      <c r="C107" s="3" t="s">
        <v>561</v>
      </c>
      <c r="D107" s="11" t="s">
        <v>560</v>
      </c>
      <c r="E107" s="11" t="s">
        <v>313</v>
      </c>
      <c r="F107" s="11" t="s">
        <v>40</v>
      </c>
      <c r="G107" s="1" t="s">
        <v>44</v>
      </c>
      <c r="H107" s="6" t="str">
        <f>HYPERLINK("https://www.bioscidb.com/browse/deal_bg/3929","Deal")</f>
        <v>Deal</v>
      </c>
      <c r="I107" s="4">
        <v>1.5</v>
      </c>
      <c r="J107" s="4">
        <v>79.5</v>
      </c>
      <c r="K107" s="4">
        <v>10</v>
      </c>
      <c r="L107" s="4" t="s">
        <v>40</v>
      </c>
      <c r="M107" s="4">
        <v>10</v>
      </c>
      <c r="N107" s="11" t="s">
        <v>563</v>
      </c>
      <c r="O107" s="1" t="s">
        <v>132</v>
      </c>
      <c r="P107" s="11" t="s">
        <v>562</v>
      </c>
      <c r="Q107" s="1" t="s">
        <v>42</v>
      </c>
      <c r="R107" s="11" t="s">
        <v>68</v>
      </c>
      <c r="S107" s="11" t="s">
        <v>564</v>
      </c>
      <c r="T107" s="11" t="s">
        <v>565</v>
      </c>
      <c r="U107" s="1" t="s">
        <v>252</v>
      </c>
      <c r="V107" s="1" t="s">
        <v>40</v>
      </c>
      <c r="W107" s="4" t="s">
        <v>40</v>
      </c>
      <c r="X107" s="4" t="s">
        <v>40</v>
      </c>
      <c r="Y107" s="4" t="s">
        <v>40</v>
      </c>
      <c r="Z107" s="4" t="s">
        <v>40</v>
      </c>
      <c r="AA107" s="4" t="s">
        <v>40</v>
      </c>
      <c r="AB107" s="4">
        <v>22.5</v>
      </c>
      <c r="AC107" s="4">
        <v>34.5</v>
      </c>
      <c r="AD107" s="4">
        <v>58.5</v>
      </c>
      <c r="AE107" s="4">
        <v>21</v>
      </c>
      <c r="AF107" s="4" t="s">
        <v>40</v>
      </c>
      <c r="AG107" s="4" t="s">
        <v>40</v>
      </c>
      <c r="AH107" s="4" t="s">
        <v>40</v>
      </c>
      <c r="AI107" s="4" t="s">
        <v>40</v>
      </c>
      <c r="AJ107" s="4" t="s">
        <v>40</v>
      </c>
      <c r="AK107" s="4" t="s">
        <v>40</v>
      </c>
      <c r="AL107" s="4" t="s">
        <v>40</v>
      </c>
      <c r="AM107" s="1" t="s">
        <v>566</v>
      </c>
    </row>
    <row r="108" spans="1:39" ht="27" customHeight="1">
      <c r="A108" s="6" t="str">
        <f>HYPERLINK("https://www.bioscidb.com/tag/gettag/99698c4a-91e9-4383-be83-bfc49f6ff482","Tag")</f>
        <v>Tag</v>
      </c>
      <c r="B108" s="11" t="s">
        <v>868</v>
      </c>
      <c r="C108" s="3" t="s">
        <v>118</v>
      </c>
      <c r="D108" s="11" t="s">
        <v>116</v>
      </c>
      <c r="E108" s="11" t="s">
        <v>117</v>
      </c>
      <c r="F108" s="11" t="s">
        <v>85</v>
      </c>
      <c r="G108" s="1" t="s">
        <v>44</v>
      </c>
      <c r="H108" s="6" t="str">
        <f>HYPERLINK("https://www.bioscidb.com/browse/deal_bg/2873","Deal")</f>
        <v>Deal</v>
      </c>
      <c r="I108" s="4">
        <v>30</v>
      </c>
      <c r="J108" s="4">
        <v>614</v>
      </c>
      <c r="K108" s="4">
        <v>17</v>
      </c>
      <c r="L108" s="4">
        <v>44</v>
      </c>
      <c r="M108" s="4">
        <v>17</v>
      </c>
      <c r="N108" s="11" t="s">
        <v>121</v>
      </c>
      <c r="O108" s="1" t="s">
        <v>110</v>
      </c>
      <c r="P108" s="11" t="s">
        <v>120</v>
      </c>
      <c r="Q108" s="1" t="s">
        <v>42</v>
      </c>
      <c r="R108" s="11" t="s">
        <v>68</v>
      </c>
      <c r="S108" s="11" t="s">
        <v>122</v>
      </c>
      <c r="T108" s="11" t="s">
        <v>123</v>
      </c>
      <c r="U108" s="1" t="s">
        <v>124</v>
      </c>
      <c r="V108" s="1" t="s">
        <v>125</v>
      </c>
      <c r="W108" s="4">
        <v>14</v>
      </c>
      <c r="X108" s="4">
        <v>30</v>
      </c>
      <c r="Y108" s="4">
        <v>90</v>
      </c>
      <c r="Z108" s="4" t="s">
        <v>40</v>
      </c>
      <c r="AA108" s="4">
        <v>85</v>
      </c>
      <c r="AB108" s="4">
        <v>165</v>
      </c>
      <c r="AC108" s="4">
        <v>150</v>
      </c>
      <c r="AD108" s="4">
        <v>564</v>
      </c>
      <c r="AE108" s="4">
        <v>50</v>
      </c>
      <c r="AF108" s="4">
        <v>10</v>
      </c>
      <c r="AG108" s="4">
        <v>10</v>
      </c>
      <c r="AH108" s="4">
        <v>11</v>
      </c>
      <c r="AI108" s="4" t="s">
        <v>40</v>
      </c>
      <c r="AJ108" s="4" t="s">
        <v>40</v>
      </c>
      <c r="AK108" s="4" t="s">
        <v>40</v>
      </c>
      <c r="AL108" s="4" t="s">
        <v>40</v>
      </c>
      <c r="AM108" s="1" t="s">
        <v>127</v>
      </c>
    </row>
    <row r="109" spans="1:39" ht="25.5">
      <c r="A109" s="6" t="str">
        <f>HYPERLINK("https://www.bioscidb.com/tag/gettag/aeecc846-3670-44a9-aaca-4da28eb3e27e","Tag")</f>
        <v>Tag</v>
      </c>
      <c r="B109" s="15" t="s">
        <v>847</v>
      </c>
      <c r="C109" s="3">
        <v>37530</v>
      </c>
      <c r="D109" s="11" t="s">
        <v>567</v>
      </c>
      <c r="E109" s="11" t="s">
        <v>568</v>
      </c>
      <c r="F109" s="11" t="s">
        <v>128</v>
      </c>
      <c r="G109" s="1" t="s">
        <v>44</v>
      </c>
      <c r="H109" s="6" t="str">
        <f>HYPERLINK("https://www.bioscidb.com/browse/deal_bg/10872","Deal")</f>
        <v>Deal</v>
      </c>
      <c r="I109" s="4" t="s">
        <v>40</v>
      </c>
      <c r="J109" s="4" t="s">
        <v>40</v>
      </c>
      <c r="K109" s="4">
        <v>5</v>
      </c>
      <c r="L109" s="4" t="s">
        <v>40</v>
      </c>
      <c r="M109" s="4">
        <v>5</v>
      </c>
      <c r="N109" s="11" t="s">
        <v>43</v>
      </c>
      <c r="O109" s="1" t="s">
        <v>267</v>
      </c>
      <c r="P109" s="11" t="s">
        <v>569</v>
      </c>
      <c r="Q109" s="1" t="s">
        <v>42</v>
      </c>
      <c r="R109" s="11" t="s">
        <v>68</v>
      </c>
      <c r="S109" s="11" t="s">
        <v>146</v>
      </c>
      <c r="T109" s="11" t="s">
        <v>570</v>
      </c>
      <c r="U109" s="1" t="s">
        <v>63</v>
      </c>
      <c r="V109" s="1" t="s">
        <v>571</v>
      </c>
      <c r="W109" s="4" t="s">
        <v>40</v>
      </c>
      <c r="X109" s="4" t="s">
        <v>40</v>
      </c>
      <c r="Y109" s="4" t="s">
        <v>40</v>
      </c>
      <c r="Z109" s="4" t="s">
        <v>40</v>
      </c>
      <c r="AA109" s="4" t="s">
        <v>40</v>
      </c>
      <c r="AB109" s="4" t="s">
        <v>40</v>
      </c>
      <c r="AC109" s="4" t="s">
        <v>40</v>
      </c>
      <c r="AD109" s="4" t="s">
        <v>40</v>
      </c>
      <c r="AE109" s="4" t="s">
        <v>40</v>
      </c>
      <c r="AF109" s="4">
        <v>5</v>
      </c>
      <c r="AG109" s="4">
        <v>5</v>
      </c>
      <c r="AH109" s="4">
        <v>5</v>
      </c>
      <c r="AI109" s="4" t="s">
        <v>40</v>
      </c>
      <c r="AJ109" s="4" t="s">
        <v>40</v>
      </c>
      <c r="AK109" s="4" t="s">
        <v>40</v>
      </c>
      <c r="AL109" s="4" t="s">
        <v>40</v>
      </c>
      <c r="AM109" s="1" t="s">
        <v>572</v>
      </c>
    </row>
    <row r="110" spans="1:39" ht="12.75">
      <c r="A110" s="6" t="str">
        <f>HYPERLINK("https://www.bioscidb.com/tag/gettag/5f43da95-5583-43fa-89a1-5ed113b05bb6","Tag")</f>
        <v>Tag</v>
      </c>
      <c r="B110" s="15" t="s">
        <v>827</v>
      </c>
      <c r="C110" s="3" t="s">
        <v>678</v>
      </c>
      <c r="D110" s="11" t="s">
        <v>804</v>
      </c>
      <c r="E110" s="11" t="s">
        <v>75</v>
      </c>
      <c r="F110" s="11" t="s">
        <v>85</v>
      </c>
      <c r="G110" s="1" t="s">
        <v>44</v>
      </c>
      <c r="H110" s="6" t="str">
        <f>HYPERLINK("https://www.bioscidb.com/browse/deal_bg/10857","Deal")</f>
        <v>Deal</v>
      </c>
      <c r="I110" s="4">
        <v>9</v>
      </c>
      <c r="J110" s="4">
        <v>58.5</v>
      </c>
      <c r="K110" s="4">
        <v>5</v>
      </c>
      <c r="L110" s="4" t="s">
        <v>40</v>
      </c>
      <c r="M110" s="4">
        <v>5</v>
      </c>
      <c r="N110" s="11" t="s">
        <v>144</v>
      </c>
      <c r="O110" s="1" t="s">
        <v>110</v>
      </c>
      <c r="P110" s="11" t="s">
        <v>805</v>
      </c>
      <c r="Q110" s="1" t="s">
        <v>42</v>
      </c>
      <c r="R110" s="11" t="s">
        <v>68</v>
      </c>
      <c r="S110" s="11" t="s">
        <v>81</v>
      </c>
      <c r="T110" s="11" t="s">
        <v>82</v>
      </c>
      <c r="U110" s="1" t="s">
        <v>260</v>
      </c>
      <c r="V110" s="1" t="s">
        <v>261</v>
      </c>
      <c r="W110" s="4" t="s">
        <v>40</v>
      </c>
      <c r="X110" s="4" t="s">
        <v>40</v>
      </c>
      <c r="Y110" s="4">
        <v>13.5</v>
      </c>
      <c r="Z110" s="4">
        <v>0.3</v>
      </c>
      <c r="AA110" s="4" t="s">
        <v>40</v>
      </c>
      <c r="AB110" s="4">
        <v>33</v>
      </c>
      <c r="AC110" s="4">
        <v>3</v>
      </c>
      <c r="AD110" s="4">
        <v>58.5</v>
      </c>
      <c r="AE110" s="4" t="s">
        <v>40</v>
      </c>
      <c r="AF110" s="4">
        <v>4</v>
      </c>
      <c r="AG110" s="4">
        <v>4</v>
      </c>
      <c r="AH110" s="4">
        <v>4</v>
      </c>
      <c r="AI110" s="4" t="s">
        <v>40</v>
      </c>
      <c r="AJ110" s="4" t="s">
        <v>40</v>
      </c>
      <c r="AK110" s="4" t="s">
        <v>40</v>
      </c>
      <c r="AL110" s="4" t="s">
        <v>40</v>
      </c>
      <c r="AM110" s="1" t="s">
        <v>806</v>
      </c>
    </row>
    <row r="111" spans="1:39" ht="25.5">
      <c r="A111" s="6" t="str">
        <f>HYPERLINK("https://www.bioscidb.com/tag/gettag/6477969e-5c0c-4182-8ab6-952317915ebf","Tag")</f>
        <v>Tag</v>
      </c>
      <c r="B111" s="15" t="s">
        <v>827</v>
      </c>
      <c r="C111" s="3" t="s">
        <v>678</v>
      </c>
      <c r="D111" s="11" t="s">
        <v>677</v>
      </c>
      <c r="E111" s="11" t="s">
        <v>208</v>
      </c>
      <c r="F111" s="11" t="s">
        <v>85</v>
      </c>
      <c r="G111" s="1" t="s">
        <v>44</v>
      </c>
      <c r="H111" s="6" t="str">
        <f>HYPERLINK("https://www.bioscidb.com/browse/deal_bg/3189","Deal")</f>
        <v>Deal</v>
      </c>
      <c r="I111" s="4">
        <v>25</v>
      </c>
      <c r="J111" s="4">
        <v>183.5</v>
      </c>
      <c r="K111" s="4">
        <v>25</v>
      </c>
      <c r="L111" s="4" t="s">
        <v>40</v>
      </c>
      <c r="M111" s="4">
        <v>25</v>
      </c>
      <c r="N111" s="11" t="s">
        <v>187</v>
      </c>
      <c r="O111" s="1" t="s">
        <v>211</v>
      </c>
      <c r="P111" s="11" t="s">
        <v>679</v>
      </c>
      <c r="Q111" s="1" t="s">
        <v>42</v>
      </c>
      <c r="R111" s="11" t="s">
        <v>68</v>
      </c>
      <c r="S111" s="11" t="s">
        <v>111</v>
      </c>
      <c r="T111" s="11" t="s">
        <v>112</v>
      </c>
      <c r="U111" s="1" t="s">
        <v>252</v>
      </c>
      <c r="V111" s="1" t="s">
        <v>40</v>
      </c>
      <c r="W111" s="4" t="s">
        <v>40</v>
      </c>
      <c r="X111" s="4" t="s">
        <v>40</v>
      </c>
      <c r="Y111" s="4">
        <v>12.5</v>
      </c>
      <c r="Z111" s="4" t="s">
        <v>40</v>
      </c>
      <c r="AA111" s="4" t="s">
        <v>40</v>
      </c>
      <c r="AB111" s="4">
        <v>22</v>
      </c>
      <c r="AC111" s="4">
        <v>63</v>
      </c>
      <c r="AD111" s="4">
        <v>122.5</v>
      </c>
      <c r="AE111" s="4">
        <v>61</v>
      </c>
      <c r="AF111" s="4">
        <v>15</v>
      </c>
      <c r="AG111" s="4">
        <v>15</v>
      </c>
      <c r="AH111" s="4">
        <v>17</v>
      </c>
      <c r="AI111" s="4" t="s">
        <v>40</v>
      </c>
      <c r="AJ111" s="4" t="s">
        <v>40</v>
      </c>
      <c r="AK111" s="4" t="s">
        <v>40</v>
      </c>
      <c r="AL111" s="4" t="s">
        <v>40</v>
      </c>
      <c r="AM111" s="1" t="s">
        <v>680</v>
      </c>
    </row>
    <row r="112" spans="1:39" ht="25.5">
      <c r="A112" s="6" t="str">
        <f>HYPERLINK("https://www.bioscidb.com/tag/gettag/6614dccc-d475-404a-ae26-976c9a1529fe","Tag")</f>
        <v>Tag</v>
      </c>
      <c r="B112" s="15" t="s">
        <v>869</v>
      </c>
      <c r="C112" s="3" t="s">
        <v>678</v>
      </c>
      <c r="D112" s="11" t="s">
        <v>801</v>
      </c>
      <c r="E112" s="11" t="s">
        <v>468</v>
      </c>
      <c r="F112" s="11" t="s">
        <v>85</v>
      </c>
      <c r="G112" s="1" t="s">
        <v>44</v>
      </c>
      <c r="H112" s="6" t="str">
        <f>HYPERLINK("https://www.bioscidb.com/browse/deal_bg/576","Deal")</f>
        <v>Deal</v>
      </c>
      <c r="I112" s="4" t="s">
        <v>40</v>
      </c>
      <c r="J112" s="4">
        <v>13.21</v>
      </c>
      <c r="K112" s="4">
        <v>4</v>
      </c>
      <c r="L112" s="4" t="s">
        <v>40</v>
      </c>
      <c r="M112" s="4">
        <v>4</v>
      </c>
      <c r="N112" s="11" t="s">
        <v>99</v>
      </c>
      <c r="O112" s="1" t="s">
        <v>110</v>
      </c>
      <c r="P112" s="11" t="s">
        <v>802</v>
      </c>
      <c r="Q112" s="1" t="s">
        <v>42</v>
      </c>
      <c r="R112" s="11" t="s">
        <v>68</v>
      </c>
      <c r="S112" s="11" t="s">
        <v>101</v>
      </c>
      <c r="T112" s="11" t="s">
        <v>102</v>
      </c>
      <c r="U112" s="1" t="s">
        <v>48</v>
      </c>
      <c r="V112" s="1" t="s">
        <v>803</v>
      </c>
      <c r="W112" s="4" t="s">
        <v>40</v>
      </c>
      <c r="X112" s="4" t="s">
        <v>40</v>
      </c>
      <c r="Y112" s="4">
        <v>4.06</v>
      </c>
      <c r="Z112" s="4">
        <v>0.29</v>
      </c>
      <c r="AA112" s="4" t="s">
        <v>40</v>
      </c>
      <c r="AB112" s="4">
        <v>9.15</v>
      </c>
      <c r="AC112" s="4" t="s">
        <v>40</v>
      </c>
      <c r="AD112" s="4">
        <v>13.21</v>
      </c>
      <c r="AE112" s="4" t="s">
        <v>40</v>
      </c>
      <c r="AF112" s="4">
        <v>4</v>
      </c>
      <c r="AG112" s="4">
        <v>4</v>
      </c>
      <c r="AH112" s="4">
        <v>4</v>
      </c>
      <c r="AI112" s="4" t="s">
        <v>40</v>
      </c>
      <c r="AJ112" s="4" t="s">
        <v>40</v>
      </c>
      <c r="AK112" s="4" t="s">
        <v>40</v>
      </c>
      <c r="AL112" s="4" t="s">
        <v>40</v>
      </c>
      <c r="AM112" s="1" t="s">
        <v>40</v>
      </c>
    </row>
    <row r="113" spans="1:39" ht="25.5">
      <c r="A113" s="6" t="str">
        <f>HYPERLINK("https://www.bioscidb.com/tag/gettag/ec9b7a85-e357-4dde-9424-34cd822c084e","Tag")</f>
        <v>Tag</v>
      </c>
      <c r="B113" s="15" t="s">
        <v>827</v>
      </c>
      <c r="C113" s="3" t="s">
        <v>684</v>
      </c>
      <c r="D113" s="11" t="s">
        <v>682</v>
      </c>
      <c r="E113" s="11" t="s">
        <v>683</v>
      </c>
      <c r="F113" s="11" t="s">
        <v>85</v>
      </c>
      <c r="G113" s="1" t="s">
        <v>44</v>
      </c>
      <c r="H113" s="6" t="str">
        <f>HYPERLINK("https://www.bioscidb.com/browse/deal_bg/17513","Deal")</f>
        <v>Deal</v>
      </c>
      <c r="I113" s="4">
        <v>0.08</v>
      </c>
      <c r="J113" s="4">
        <v>0.6</v>
      </c>
      <c r="K113" s="4">
        <v>5</v>
      </c>
      <c r="L113" s="4" t="s">
        <v>40</v>
      </c>
      <c r="M113" s="4">
        <v>5</v>
      </c>
      <c r="N113" s="11" t="s">
        <v>43</v>
      </c>
      <c r="O113" s="1" t="s">
        <v>686</v>
      </c>
      <c r="P113" s="11" t="s">
        <v>685</v>
      </c>
      <c r="Q113" s="1" t="s">
        <v>42</v>
      </c>
      <c r="R113" s="11" t="s">
        <v>68</v>
      </c>
      <c r="S113" s="11" t="s">
        <v>40</v>
      </c>
      <c r="T113" s="11" t="s">
        <v>40</v>
      </c>
      <c r="U113" s="1" t="s">
        <v>686</v>
      </c>
      <c r="V113" s="1" t="s">
        <v>40</v>
      </c>
      <c r="W113" s="4" t="s">
        <v>40</v>
      </c>
      <c r="X113" s="4" t="s">
        <v>40</v>
      </c>
      <c r="Y113" s="4" t="s">
        <v>40</v>
      </c>
      <c r="Z113" s="4" t="s">
        <v>40</v>
      </c>
      <c r="AA113" s="4" t="s">
        <v>40</v>
      </c>
      <c r="AB113" s="4">
        <v>0.53</v>
      </c>
      <c r="AC113" s="4" t="s">
        <v>40</v>
      </c>
      <c r="AD113" s="4" t="s">
        <v>40</v>
      </c>
      <c r="AE113" s="4" t="s">
        <v>40</v>
      </c>
      <c r="AF113" s="4">
        <v>4</v>
      </c>
      <c r="AG113" s="4">
        <v>3</v>
      </c>
      <c r="AH113" s="4">
        <v>3</v>
      </c>
      <c r="AI113" s="4" t="s">
        <v>40</v>
      </c>
      <c r="AJ113" s="4" t="s">
        <v>40</v>
      </c>
      <c r="AK113" s="4" t="s">
        <v>40</v>
      </c>
      <c r="AL113" s="4" t="s">
        <v>40</v>
      </c>
      <c r="AM113" s="1" t="s">
        <v>40</v>
      </c>
    </row>
    <row r="114" spans="1:39" ht="25.5">
      <c r="A114" s="6" t="str">
        <f>HYPERLINK("https://www.bioscidb.com/tag/gettag/be5c2392-dffb-42bb-ae33-fe6b43b42a9a","Tag")</f>
        <v>Tag</v>
      </c>
      <c r="B114" s="11" t="s">
        <v>870</v>
      </c>
      <c r="C114" s="3" t="s">
        <v>307</v>
      </c>
      <c r="D114" s="11" t="s">
        <v>305</v>
      </c>
      <c r="E114" s="11" t="s">
        <v>306</v>
      </c>
      <c r="F114" s="11" t="s">
        <v>40</v>
      </c>
      <c r="G114" s="1" t="s">
        <v>44</v>
      </c>
      <c r="H114" s="6" t="str">
        <f>HYPERLINK("https://www.bioscidb.com/browse/deal_bg/6236","Deal")</f>
        <v>Deal</v>
      </c>
      <c r="I114" s="4">
        <v>0.12</v>
      </c>
      <c r="J114" s="4">
        <v>3.12</v>
      </c>
      <c r="K114" s="4">
        <v>7.000000000000001</v>
      </c>
      <c r="L114" s="4" t="s">
        <v>40</v>
      </c>
      <c r="M114" s="4">
        <v>7.000000000000001</v>
      </c>
      <c r="N114" s="11" t="s">
        <v>309</v>
      </c>
      <c r="O114" s="1" t="s">
        <v>267</v>
      </c>
      <c r="P114" s="11" t="s">
        <v>308</v>
      </c>
      <c r="Q114" s="1" t="s">
        <v>42</v>
      </c>
      <c r="R114" s="11" t="s">
        <v>68</v>
      </c>
      <c r="S114" s="11" t="s">
        <v>146</v>
      </c>
      <c r="T114" s="11" t="s">
        <v>310</v>
      </c>
      <c r="U114" s="1" t="s">
        <v>63</v>
      </c>
      <c r="V114" s="1" t="s">
        <v>311</v>
      </c>
      <c r="W114" s="4" t="s">
        <v>40</v>
      </c>
      <c r="X114" s="4" t="s">
        <v>40</v>
      </c>
      <c r="Y114" s="4" t="s">
        <v>40</v>
      </c>
      <c r="Z114" s="4" t="s">
        <v>40</v>
      </c>
      <c r="AA114" s="4" t="s">
        <v>40</v>
      </c>
      <c r="AB114" s="4">
        <v>3</v>
      </c>
      <c r="AC114" s="4" t="s">
        <v>40</v>
      </c>
      <c r="AD114" s="4">
        <v>3.12</v>
      </c>
      <c r="AE114" s="4" t="s">
        <v>40</v>
      </c>
      <c r="AF114" s="4">
        <v>5</v>
      </c>
      <c r="AG114" s="4">
        <v>6</v>
      </c>
      <c r="AH114" s="4">
        <v>7.000000000000001</v>
      </c>
      <c r="AI114" s="4" t="s">
        <v>40</v>
      </c>
      <c r="AJ114" s="4" t="s">
        <v>40</v>
      </c>
      <c r="AK114" s="4" t="s">
        <v>40</v>
      </c>
      <c r="AL114" s="4" t="s">
        <v>40</v>
      </c>
      <c r="AM114" s="1" t="s">
        <v>40</v>
      </c>
    </row>
    <row r="115" spans="1:39" ht="25.5">
      <c r="A115" s="6" t="str">
        <f>HYPERLINK("https://www.bioscidb.com/tag/gettag/b7386c2e-6ce8-4c55-8f3f-86744108c4d5","Tag")</f>
        <v>Tag</v>
      </c>
      <c r="B115" s="15" t="s">
        <v>827</v>
      </c>
      <c r="C115" s="3" t="s">
        <v>130</v>
      </c>
      <c r="D115" s="11" t="s">
        <v>129</v>
      </c>
      <c r="E115" s="11" t="s">
        <v>38</v>
      </c>
      <c r="F115" s="11" t="s">
        <v>52</v>
      </c>
      <c r="G115" s="1" t="s">
        <v>44</v>
      </c>
      <c r="H115" s="6" t="str">
        <f>HYPERLINK("https://www.bioscidb.com/browse/deal_bg/9670","Deal")</f>
        <v>Deal</v>
      </c>
      <c r="I115" s="4">
        <v>0.4</v>
      </c>
      <c r="J115" s="4">
        <v>17.9</v>
      </c>
      <c r="K115" s="4">
        <v>10</v>
      </c>
      <c r="L115" s="4" t="s">
        <v>40</v>
      </c>
      <c r="M115" s="4">
        <v>10</v>
      </c>
      <c r="N115" s="11" t="s">
        <v>43</v>
      </c>
      <c r="O115" s="1" t="s">
        <v>132</v>
      </c>
      <c r="P115" s="11" t="s">
        <v>131</v>
      </c>
      <c r="Q115" s="1" t="s">
        <v>42</v>
      </c>
      <c r="R115" s="11" t="s">
        <v>68</v>
      </c>
      <c r="S115" s="11" t="s">
        <v>111</v>
      </c>
      <c r="T115" s="11" t="s">
        <v>133</v>
      </c>
      <c r="U115" s="1" t="s">
        <v>48</v>
      </c>
      <c r="V115" s="1" t="s">
        <v>49</v>
      </c>
      <c r="W115" s="4" t="s">
        <v>40</v>
      </c>
      <c r="X115" s="4" t="s">
        <v>40</v>
      </c>
      <c r="Y115" s="4" t="s">
        <v>40</v>
      </c>
      <c r="Z115" s="4" t="s">
        <v>40</v>
      </c>
      <c r="AA115" s="4" t="s">
        <v>40</v>
      </c>
      <c r="AB115" s="4">
        <v>17.5</v>
      </c>
      <c r="AC115" s="4" t="s">
        <v>40</v>
      </c>
      <c r="AD115" s="4">
        <v>17.9</v>
      </c>
      <c r="AE115" s="4" t="s">
        <v>40</v>
      </c>
      <c r="AF115" s="4">
        <v>6</v>
      </c>
      <c r="AG115" s="4">
        <v>7.000000000000001</v>
      </c>
      <c r="AH115" s="4">
        <v>9</v>
      </c>
      <c r="AI115" s="4" t="s">
        <v>40</v>
      </c>
      <c r="AJ115" s="4" t="s">
        <v>40</v>
      </c>
      <c r="AK115" s="4" t="s">
        <v>40</v>
      </c>
      <c r="AL115" s="4" t="s">
        <v>40</v>
      </c>
      <c r="AM115" s="1" t="s">
        <v>134</v>
      </c>
    </row>
    <row r="116" spans="1:39" ht="25.5">
      <c r="A116" s="6" t="str">
        <f>HYPERLINK("https://www.bioscidb.com/tag/gettag/1f5c9963-241f-48a0-babb-1de298559a22","Tag")</f>
        <v>Tag</v>
      </c>
      <c r="B116" s="15" t="s">
        <v>827</v>
      </c>
      <c r="C116" s="3" t="s">
        <v>130</v>
      </c>
      <c r="D116" s="11" t="s">
        <v>312</v>
      </c>
      <c r="E116" s="11" t="s">
        <v>313</v>
      </c>
      <c r="F116" s="11" t="s">
        <v>40</v>
      </c>
      <c r="G116" s="1" t="s">
        <v>44</v>
      </c>
      <c r="H116" s="6" t="str">
        <f>HYPERLINK("https://www.bioscidb.com/browse/deal_bg/17515","Deal")</f>
        <v>Deal</v>
      </c>
      <c r="I116" s="4">
        <v>0.5</v>
      </c>
      <c r="J116" s="4">
        <v>12</v>
      </c>
      <c r="K116" s="4">
        <v>7.000000000000001</v>
      </c>
      <c r="L116" s="4" t="s">
        <v>40</v>
      </c>
      <c r="M116" s="4">
        <v>7.000000000000001</v>
      </c>
      <c r="N116" s="11" t="s">
        <v>43</v>
      </c>
      <c r="O116" s="1" t="s">
        <v>80</v>
      </c>
      <c r="P116" s="11" t="s">
        <v>314</v>
      </c>
      <c r="Q116" s="1" t="s">
        <v>42</v>
      </c>
      <c r="R116" s="11" t="s">
        <v>68</v>
      </c>
      <c r="S116" s="11" t="s">
        <v>315</v>
      </c>
      <c r="T116" s="11" t="s">
        <v>316</v>
      </c>
      <c r="U116" s="1" t="s">
        <v>48</v>
      </c>
      <c r="V116" s="1" t="s">
        <v>49</v>
      </c>
      <c r="W116" s="4" t="s">
        <v>40</v>
      </c>
      <c r="X116" s="4" t="s">
        <v>40</v>
      </c>
      <c r="Y116" s="4" t="s">
        <v>40</v>
      </c>
      <c r="Z116" s="4" t="s">
        <v>40</v>
      </c>
      <c r="AA116" s="4" t="s">
        <v>40</v>
      </c>
      <c r="AB116" s="4">
        <v>9.5</v>
      </c>
      <c r="AC116" s="4">
        <v>1</v>
      </c>
      <c r="AD116" s="4">
        <v>11</v>
      </c>
      <c r="AE116" s="4">
        <v>1</v>
      </c>
      <c r="AF116" s="4">
        <v>7.000000000000001</v>
      </c>
      <c r="AG116" s="4">
        <v>7.000000000000001</v>
      </c>
      <c r="AH116" s="4">
        <v>7.000000000000001</v>
      </c>
      <c r="AI116" s="4" t="s">
        <v>40</v>
      </c>
      <c r="AJ116" s="4" t="s">
        <v>40</v>
      </c>
      <c r="AK116" s="4" t="s">
        <v>40</v>
      </c>
      <c r="AL116" s="4" t="s">
        <v>40</v>
      </c>
      <c r="AM116" s="1" t="s">
        <v>317</v>
      </c>
    </row>
    <row r="117" spans="1:39" ht="39.75" customHeight="1">
      <c r="A117" s="6" t="str">
        <f>HYPERLINK("https://www.bioscidb.com/tag/gettag/95da6788-15be-4094-9f1a-a732c3475e67","Tag")</f>
        <v>Tag</v>
      </c>
      <c r="B117" s="11" t="s">
        <v>871</v>
      </c>
      <c r="C117" s="3" t="s">
        <v>574</v>
      </c>
      <c r="D117" s="11" t="s">
        <v>224</v>
      </c>
      <c r="E117" s="11" t="s">
        <v>687</v>
      </c>
      <c r="F117" s="11" t="s">
        <v>271</v>
      </c>
      <c r="G117" s="1" t="s">
        <v>44</v>
      </c>
      <c r="H117" s="6" t="str">
        <f>HYPERLINK("https://www.bioscidb.com/browse/deal_bg/2992","Deal")</f>
        <v>Deal</v>
      </c>
      <c r="I117" s="4" t="s">
        <v>40</v>
      </c>
      <c r="J117" s="4" t="s">
        <v>40</v>
      </c>
      <c r="K117" s="4" t="s">
        <v>40</v>
      </c>
      <c r="L117" s="4">
        <v>18.9</v>
      </c>
      <c r="M117" s="4" t="s">
        <v>40</v>
      </c>
      <c r="N117" s="11" t="s">
        <v>510</v>
      </c>
      <c r="O117" s="1" t="s">
        <v>689</v>
      </c>
      <c r="P117" s="11" t="s">
        <v>688</v>
      </c>
      <c r="Q117" s="1" t="s">
        <v>42</v>
      </c>
      <c r="R117" s="11" t="s">
        <v>68</v>
      </c>
      <c r="S117" s="11" t="s">
        <v>690</v>
      </c>
      <c r="T117" s="11" t="s">
        <v>691</v>
      </c>
      <c r="U117" s="1" t="s">
        <v>48</v>
      </c>
      <c r="V117" s="1" t="s">
        <v>49</v>
      </c>
      <c r="W117" s="4">
        <v>18.9</v>
      </c>
      <c r="X117" s="4" t="s">
        <v>40</v>
      </c>
      <c r="Y117" s="4" t="s">
        <v>40</v>
      </c>
      <c r="Z117" s="4" t="s">
        <v>40</v>
      </c>
      <c r="AA117" s="4" t="s">
        <v>40</v>
      </c>
      <c r="AB117" s="4" t="s">
        <v>40</v>
      </c>
      <c r="AC117" s="4" t="s">
        <v>40</v>
      </c>
      <c r="AD117" s="4" t="s">
        <v>40</v>
      </c>
      <c r="AE117" s="4" t="s">
        <v>40</v>
      </c>
      <c r="AF117" s="4" t="s">
        <v>40</v>
      </c>
      <c r="AG117" s="4" t="s">
        <v>40</v>
      </c>
      <c r="AH117" s="4" t="s">
        <v>40</v>
      </c>
      <c r="AI117" s="4" t="s">
        <v>40</v>
      </c>
      <c r="AJ117" s="4" t="s">
        <v>40</v>
      </c>
      <c r="AK117" s="4" t="s">
        <v>40</v>
      </c>
      <c r="AL117" s="4" t="s">
        <v>40</v>
      </c>
      <c r="AM117" s="1" t="s">
        <v>40</v>
      </c>
    </row>
    <row r="118" spans="1:39" ht="25.5">
      <c r="A118" s="6" t="str">
        <f>HYPERLINK("https://www.bioscidb.com/tag/gettag/0abe37c2-7077-4637-a306-863f28140b53","Tag")</f>
        <v>Tag</v>
      </c>
      <c r="B118" s="15" t="s">
        <v>872</v>
      </c>
      <c r="C118" s="3" t="s">
        <v>574</v>
      </c>
      <c r="D118" s="11" t="s">
        <v>573</v>
      </c>
      <c r="E118" s="11" t="s">
        <v>445</v>
      </c>
      <c r="F118" s="11" t="s">
        <v>85</v>
      </c>
      <c r="G118" s="1" t="s">
        <v>44</v>
      </c>
      <c r="H118" s="6" t="str">
        <f>HYPERLINK("https://www.bioscidb.com/browse/deal_bg/6372","Deal")</f>
        <v>Deal</v>
      </c>
      <c r="I118" s="4">
        <v>0.5</v>
      </c>
      <c r="J118" s="4">
        <v>30.8</v>
      </c>
      <c r="K118" s="4">
        <v>8</v>
      </c>
      <c r="L118" s="4" t="s">
        <v>40</v>
      </c>
      <c r="M118" s="4">
        <v>8</v>
      </c>
      <c r="N118" s="11" t="s">
        <v>144</v>
      </c>
      <c r="O118" s="1" t="s">
        <v>110</v>
      </c>
      <c r="P118" s="11" t="s">
        <v>575</v>
      </c>
      <c r="Q118" s="1" t="s">
        <v>42</v>
      </c>
      <c r="R118" s="11" t="s">
        <v>68</v>
      </c>
      <c r="S118" s="11" t="s">
        <v>315</v>
      </c>
      <c r="T118" s="11" t="s">
        <v>316</v>
      </c>
      <c r="U118" s="1" t="s">
        <v>148</v>
      </c>
      <c r="V118" s="1" t="s">
        <v>49</v>
      </c>
      <c r="W118" s="4" t="s">
        <v>40</v>
      </c>
      <c r="X118" s="4" t="s">
        <v>40</v>
      </c>
      <c r="Y118" s="4">
        <v>5.8</v>
      </c>
      <c r="Z118" s="4">
        <v>0.28</v>
      </c>
      <c r="AA118" s="4" t="s">
        <v>40</v>
      </c>
      <c r="AB118" s="4">
        <v>24.5</v>
      </c>
      <c r="AC118" s="4" t="s">
        <v>40</v>
      </c>
      <c r="AD118" s="4">
        <v>30.8</v>
      </c>
      <c r="AE118" s="4" t="s">
        <v>40</v>
      </c>
      <c r="AF118" s="4">
        <v>4</v>
      </c>
      <c r="AG118" s="4">
        <v>4</v>
      </c>
      <c r="AH118" s="4">
        <v>4</v>
      </c>
      <c r="AI118" s="4" t="s">
        <v>40</v>
      </c>
      <c r="AJ118" s="4" t="s">
        <v>40</v>
      </c>
      <c r="AK118" s="4" t="s">
        <v>40</v>
      </c>
      <c r="AL118" s="4" t="s">
        <v>40</v>
      </c>
      <c r="AM118" s="1" t="s">
        <v>576</v>
      </c>
    </row>
    <row r="119" spans="1:39" ht="25.5">
      <c r="A119" s="6" t="str">
        <f>HYPERLINK("https://www.bioscidb.com/tag/gettag/0caa0386-86b5-4b72-bb72-78685ad9b568","Tag")</f>
        <v>Tag</v>
      </c>
      <c r="B119" s="15" t="s">
        <v>827</v>
      </c>
      <c r="C119" s="3" t="s">
        <v>694</v>
      </c>
      <c r="D119" s="11" t="s">
        <v>692</v>
      </c>
      <c r="E119" s="11" t="s">
        <v>693</v>
      </c>
      <c r="F119" s="11" t="s">
        <v>40</v>
      </c>
      <c r="G119" s="1" t="s">
        <v>44</v>
      </c>
      <c r="H119" s="6" t="str">
        <f>HYPERLINK("https://www.bioscidb.com/browse/deal_bg/3671","Deal")</f>
        <v>Deal</v>
      </c>
      <c r="I119" s="4" t="s">
        <v>40</v>
      </c>
      <c r="J119" s="4">
        <v>5</v>
      </c>
      <c r="K119" s="4">
        <v>9</v>
      </c>
      <c r="L119" s="4" t="s">
        <v>40</v>
      </c>
      <c r="M119" s="4">
        <v>9</v>
      </c>
      <c r="N119" s="11" t="s">
        <v>43</v>
      </c>
      <c r="O119" s="1" t="s">
        <v>696</v>
      </c>
      <c r="P119" s="11" t="s">
        <v>695</v>
      </c>
      <c r="Q119" s="1" t="s">
        <v>42</v>
      </c>
      <c r="R119" s="11" t="s">
        <v>699</v>
      </c>
      <c r="S119" s="11" t="s">
        <v>697</v>
      </c>
      <c r="T119" s="11" t="s">
        <v>698</v>
      </c>
      <c r="U119" s="1" t="s">
        <v>113</v>
      </c>
      <c r="V119" s="1" t="s">
        <v>40</v>
      </c>
      <c r="W119" s="4" t="s">
        <v>40</v>
      </c>
      <c r="X119" s="4" t="s">
        <v>40</v>
      </c>
      <c r="Y119" s="4" t="s">
        <v>40</v>
      </c>
      <c r="Z119" s="4" t="s">
        <v>40</v>
      </c>
      <c r="AA119" s="4" t="s">
        <v>40</v>
      </c>
      <c r="AB119" s="4">
        <v>5</v>
      </c>
      <c r="AC119" s="4" t="s">
        <v>40</v>
      </c>
      <c r="AD119" s="4">
        <v>5</v>
      </c>
      <c r="AE119" s="4" t="s">
        <v>40</v>
      </c>
      <c r="AF119" s="4">
        <v>7.000000000000001</v>
      </c>
      <c r="AG119" s="4">
        <v>7.000000000000001</v>
      </c>
      <c r="AH119" s="4">
        <v>8</v>
      </c>
      <c r="AI119" s="4" t="s">
        <v>40</v>
      </c>
      <c r="AJ119" s="4" t="s">
        <v>40</v>
      </c>
      <c r="AK119" s="4" t="s">
        <v>40</v>
      </c>
      <c r="AL119" s="4" t="s">
        <v>40</v>
      </c>
      <c r="AM119" s="1" t="s">
        <v>40</v>
      </c>
    </row>
    <row r="120" spans="1:39" ht="25.5">
      <c r="A120" s="6" t="str">
        <f>HYPERLINK("https://www.bioscidb.com/tag/gettag/27ada1a5-35e4-4ee1-b79d-dcf919918e5d","Tag")</f>
        <v>Tag</v>
      </c>
      <c r="B120" s="15" t="s">
        <v>827</v>
      </c>
      <c r="C120" s="3" t="s">
        <v>136</v>
      </c>
      <c r="D120" s="11" t="s">
        <v>135</v>
      </c>
      <c r="E120" s="11" t="s">
        <v>38</v>
      </c>
      <c r="F120" s="11" t="s">
        <v>52</v>
      </c>
      <c r="G120" s="1" t="s">
        <v>44</v>
      </c>
      <c r="H120" s="6" t="str">
        <f>HYPERLINK("https://www.bioscidb.com/browse/deal_bg/9669","Deal")</f>
        <v>Deal</v>
      </c>
      <c r="I120" s="4" t="s">
        <v>40</v>
      </c>
      <c r="J120" s="4">
        <v>9</v>
      </c>
      <c r="K120" s="4">
        <v>14.000000000000002</v>
      </c>
      <c r="L120" s="4" t="s">
        <v>40</v>
      </c>
      <c r="M120" s="4">
        <v>14.000000000000002</v>
      </c>
      <c r="N120" s="11" t="s">
        <v>43</v>
      </c>
      <c r="O120" s="1" t="s">
        <v>80</v>
      </c>
      <c r="P120" s="11" t="s">
        <v>137</v>
      </c>
      <c r="Q120" s="1" t="s">
        <v>42</v>
      </c>
      <c r="R120" s="11" t="s">
        <v>53</v>
      </c>
      <c r="S120" s="11" t="s">
        <v>138</v>
      </c>
      <c r="T120" s="11" t="s">
        <v>139</v>
      </c>
      <c r="U120" s="1" t="s">
        <v>48</v>
      </c>
      <c r="V120" s="1" t="s">
        <v>49</v>
      </c>
      <c r="W120" s="4" t="s">
        <v>40</v>
      </c>
      <c r="X120" s="4" t="s">
        <v>40</v>
      </c>
      <c r="Y120" s="4" t="s">
        <v>40</v>
      </c>
      <c r="Z120" s="4" t="s">
        <v>40</v>
      </c>
      <c r="AA120" s="4" t="s">
        <v>40</v>
      </c>
      <c r="AB120" s="4">
        <v>9</v>
      </c>
      <c r="AC120" s="4" t="s">
        <v>40</v>
      </c>
      <c r="AD120" s="4">
        <v>9</v>
      </c>
      <c r="AE120" s="4" t="s">
        <v>40</v>
      </c>
      <c r="AF120" s="4">
        <v>6</v>
      </c>
      <c r="AG120" s="4">
        <v>9</v>
      </c>
      <c r="AH120" s="4">
        <v>12</v>
      </c>
      <c r="AI120" s="4" t="s">
        <v>40</v>
      </c>
      <c r="AJ120" s="4" t="s">
        <v>40</v>
      </c>
      <c r="AK120" s="4" t="s">
        <v>40</v>
      </c>
      <c r="AL120" s="4" t="s">
        <v>40</v>
      </c>
      <c r="AM120" s="1" t="s">
        <v>140</v>
      </c>
    </row>
    <row r="121" spans="1:39" ht="25.5">
      <c r="A121" s="6" t="str">
        <f>HYPERLINK("https://www.bioscidb.com/tag/gettag/a1ab43e2-7c94-47ef-ad4a-3eadc2b41148","Tag")</f>
        <v>Tag</v>
      </c>
      <c r="B121" s="15" t="s">
        <v>847</v>
      </c>
      <c r="C121" s="3" t="s">
        <v>807</v>
      </c>
      <c r="D121" s="11" t="s">
        <v>54</v>
      </c>
      <c r="E121" s="11" t="s">
        <v>577</v>
      </c>
      <c r="F121" s="11" t="s">
        <v>85</v>
      </c>
      <c r="G121" s="1" t="s">
        <v>44</v>
      </c>
      <c r="H121" s="6" t="str">
        <f>HYPERLINK("https://www.bioscidb.com/browse/deal_bg/3740","Deal")</f>
        <v>Deal</v>
      </c>
      <c r="I121" s="4">
        <v>3</v>
      </c>
      <c r="J121" s="4">
        <v>51</v>
      </c>
      <c r="K121" s="4">
        <v>15</v>
      </c>
      <c r="L121" s="4">
        <v>5</v>
      </c>
      <c r="M121" s="4">
        <v>15</v>
      </c>
      <c r="N121" s="11" t="s">
        <v>809</v>
      </c>
      <c r="O121" s="1" t="s">
        <v>60</v>
      </c>
      <c r="P121" s="11" t="s">
        <v>808</v>
      </c>
      <c r="Q121" s="1" t="s">
        <v>42</v>
      </c>
      <c r="R121" s="11" t="s">
        <v>68</v>
      </c>
      <c r="S121" s="11" t="s">
        <v>552</v>
      </c>
      <c r="T121" s="11" t="s">
        <v>810</v>
      </c>
      <c r="U121" s="1" t="s">
        <v>204</v>
      </c>
      <c r="V121" s="1" t="s">
        <v>811</v>
      </c>
      <c r="W121" s="4">
        <v>5</v>
      </c>
      <c r="X121" s="4" t="s">
        <v>40</v>
      </c>
      <c r="Y121" s="4" t="s">
        <v>40</v>
      </c>
      <c r="Z121" s="4" t="s">
        <v>40</v>
      </c>
      <c r="AA121" s="4" t="s">
        <v>40</v>
      </c>
      <c r="AB121" s="4">
        <v>23</v>
      </c>
      <c r="AC121" s="4" t="s">
        <v>40</v>
      </c>
      <c r="AD121" s="4">
        <v>31</v>
      </c>
      <c r="AE121" s="4">
        <v>20</v>
      </c>
      <c r="AF121" s="4">
        <v>10</v>
      </c>
      <c r="AG121" s="4">
        <v>13</v>
      </c>
      <c r="AH121" s="4">
        <v>14.000000000000002</v>
      </c>
      <c r="AI121" s="4" t="s">
        <v>40</v>
      </c>
      <c r="AJ121" s="4" t="s">
        <v>40</v>
      </c>
      <c r="AK121" s="4" t="s">
        <v>40</v>
      </c>
      <c r="AL121" s="4" t="s">
        <v>40</v>
      </c>
      <c r="AM121" s="1" t="s">
        <v>40</v>
      </c>
    </row>
    <row r="122" spans="1:39" ht="25.5">
      <c r="A122" s="6" t="str">
        <f>HYPERLINK("https://www.bioscidb.com/tag/gettag/c120487f-e8b3-47ee-b6ad-f23405ca571b","Tag")</f>
        <v>Tag</v>
      </c>
      <c r="B122" s="15" t="s">
        <v>827</v>
      </c>
      <c r="C122" s="3">
        <v>37257</v>
      </c>
      <c r="D122" s="11" t="s">
        <v>141</v>
      </c>
      <c r="E122" s="11" t="s">
        <v>142</v>
      </c>
      <c r="F122" s="11" t="s">
        <v>85</v>
      </c>
      <c r="G122" s="1" t="s">
        <v>44</v>
      </c>
      <c r="H122" s="6" t="str">
        <f>HYPERLINK("https://www.bioscidb.com/browse/deal_bg/14637","Deal")</f>
        <v>Deal</v>
      </c>
      <c r="I122" s="4">
        <v>2</v>
      </c>
      <c r="J122" s="4">
        <v>57</v>
      </c>
      <c r="K122" s="4">
        <v>9</v>
      </c>
      <c r="L122" s="4" t="s">
        <v>40</v>
      </c>
      <c r="M122" s="4">
        <v>9</v>
      </c>
      <c r="N122" s="11" t="s">
        <v>144</v>
      </c>
      <c r="O122" s="1" t="s">
        <v>145</v>
      </c>
      <c r="P122" s="11" t="s">
        <v>143</v>
      </c>
      <c r="Q122" s="1" t="s">
        <v>42</v>
      </c>
      <c r="R122" s="11" t="s">
        <v>68</v>
      </c>
      <c r="S122" s="11" t="s">
        <v>146</v>
      </c>
      <c r="T122" s="11" t="s">
        <v>147</v>
      </c>
      <c r="U122" s="1" t="s">
        <v>148</v>
      </c>
      <c r="V122" s="1" t="s">
        <v>49</v>
      </c>
      <c r="W122" s="4" t="s">
        <v>40</v>
      </c>
      <c r="X122" s="4" t="s">
        <v>40</v>
      </c>
      <c r="Y122" s="4" t="s">
        <v>40</v>
      </c>
      <c r="Z122" s="4">
        <v>0.25</v>
      </c>
      <c r="AA122" s="4" t="s">
        <v>40</v>
      </c>
      <c r="AB122" s="4">
        <v>30</v>
      </c>
      <c r="AC122" s="4">
        <v>25</v>
      </c>
      <c r="AD122" s="4">
        <v>57</v>
      </c>
      <c r="AE122" s="4" t="s">
        <v>40</v>
      </c>
      <c r="AF122" s="4">
        <v>9</v>
      </c>
      <c r="AG122" s="4">
        <v>9</v>
      </c>
      <c r="AH122" s="4">
        <v>9</v>
      </c>
      <c r="AI122" s="4" t="s">
        <v>40</v>
      </c>
      <c r="AJ122" s="4" t="s">
        <v>40</v>
      </c>
      <c r="AK122" s="4" t="s">
        <v>40</v>
      </c>
      <c r="AL122" s="4" t="s">
        <v>40</v>
      </c>
      <c r="AM122" s="1" t="s">
        <v>149</v>
      </c>
    </row>
    <row r="123" spans="1:39" ht="51.75" customHeight="1">
      <c r="A123" s="6" t="str">
        <f>HYPERLINK("https://www.bioscidb.com/tag/gettag/4f18cdf2-f689-43f9-b3ee-6a083c55ae7d","Tag")</f>
        <v>Tag</v>
      </c>
      <c r="B123" s="11" t="s">
        <v>873</v>
      </c>
      <c r="C123" s="3" t="s">
        <v>701</v>
      </c>
      <c r="D123" s="11" t="s">
        <v>700</v>
      </c>
      <c r="E123" s="11" t="s">
        <v>224</v>
      </c>
      <c r="F123" s="11" t="s">
        <v>85</v>
      </c>
      <c r="G123" s="1" t="s">
        <v>44</v>
      </c>
      <c r="H123" s="6" t="str">
        <f>HYPERLINK("https://www.bioscidb.com/browse/deal_bg/108","Deal")</f>
        <v>Deal</v>
      </c>
      <c r="I123" s="4">
        <v>1</v>
      </c>
      <c r="J123" s="4">
        <v>7.8</v>
      </c>
      <c r="K123" s="4">
        <v>3</v>
      </c>
      <c r="L123" s="4" t="s">
        <v>40</v>
      </c>
      <c r="M123" s="4">
        <v>3</v>
      </c>
      <c r="N123" s="11" t="s">
        <v>144</v>
      </c>
      <c r="O123" s="1" t="s">
        <v>110</v>
      </c>
      <c r="P123" s="11" t="s">
        <v>702</v>
      </c>
      <c r="Q123" s="1" t="s">
        <v>42</v>
      </c>
      <c r="R123" s="11" t="s">
        <v>68</v>
      </c>
      <c r="S123" s="11" t="s">
        <v>250</v>
      </c>
      <c r="T123" s="11" t="s">
        <v>703</v>
      </c>
      <c r="U123" s="1" t="s">
        <v>148</v>
      </c>
      <c r="V123" s="1" t="s">
        <v>434</v>
      </c>
      <c r="W123" s="4" t="s">
        <v>40</v>
      </c>
      <c r="X123" s="4" t="s">
        <v>40</v>
      </c>
      <c r="Y123" s="4">
        <v>2.65</v>
      </c>
      <c r="Z123" s="4">
        <v>0.28</v>
      </c>
      <c r="AA123" s="4" t="s">
        <v>40</v>
      </c>
      <c r="AB123" s="4">
        <v>4.25</v>
      </c>
      <c r="AC123" s="4" t="s">
        <v>40</v>
      </c>
      <c r="AD123" s="4">
        <v>7.9</v>
      </c>
      <c r="AE123" s="4" t="s">
        <v>40</v>
      </c>
      <c r="AF123" s="4">
        <v>3</v>
      </c>
      <c r="AG123" s="4">
        <v>3</v>
      </c>
      <c r="AH123" s="4">
        <v>3</v>
      </c>
      <c r="AI123" s="4" t="s">
        <v>40</v>
      </c>
      <c r="AJ123" s="4" t="s">
        <v>40</v>
      </c>
      <c r="AK123" s="4" t="s">
        <v>40</v>
      </c>
      <c r="AL123" s="4" t="s">
        <v>40</v>
      </c>
      <c r="AM123" s="1" t="s">
        <v>40</v>
      </c>
    </row>
    <row r="124" spans="1:39" ht="12.75">
      <c r="A124" s="6" t="str">
        <f>HYPERLINK("https://www.bioscidb.com/tag/gettag/f567379f-1244-4918-b9fc-194883d53095","Tag")</f>
        <v>Tag</v>
      </c>
      <c r="B124" s="15" t="s">
        <v>827</v>
      </c>
      <c r="C124" s="3" t="s">
        <v>319</v>
      </c>
      <c r="D124" s="11" t="s">
        <v>326</v>
      </c>
      <c r="E124" s="11" t="s">
        <v>468</v>
      </c>
      <c r="F124" s="11" t="s">
        <v>85</v>
      </c>
      <c r="G124" s="1" t="s">
        <v>44</v>
      </c>
      <c r="H124" s="6" t="str">
        <f>HYPERLINK("https://www.bioscidb.com/browse/deal_bg/3036","Deal")</f>
        <v>Deal</v>
      </c>
      <c r="I124" s="4">
        <v>50</v>
      </c>
      <c r="J124" s="4">
        <v>145</v>
      </c>
      <c r="K124" s="4">
        <v>27</v>
      </c>
      <c r="L124" s="4" t="s">
        <v>40</v>
      </c>
      <c r="M124" s="4">
        <v>27</v>
      </c>
      <c r="N124" s="11" t="s">
        <v>470</v>
      </c>
      <c r="O124" s="1" t="s">
        <v>155</v>
      </c>
      <c r="P124" s="11" t="s">
        <v>469</v>
      </c>
      <c r="Q124" s="1" t="s">
        <v>42</v>
      </c>
      <c r="R124" s="11" t="s">
        <v>68</v>
      </c>
      <c r="S124" s="11" t="s">
        <v>73</v>
      </c>
      <c r="T124" s="11" t="s">
        <v>74</v>
      </c>
      <c r="U124" s="1" t="s">
        <v>394</v>
      </c>
      <c r="V124" s="1" t="s">
        <v>40</v>
      </c>
      <c r="W124" s="4" t="s">
        <v>40</v>
      </c>
      <c r="X124" s="4" t="s">
        <v>40</v>
      </c>
      <c r="Y124" s="4" t="s">
        <v>40</v>
      </c>
      <c r="Z124" s="4" t="s">
        <v>40</v>
      </c>
      <c r="AA124" s="4" t="s">
        <v>40</v>
      </c>
      <c r="AB124" s="4">
        <v>65</v>
      </c>
      <c r="AC124" s="4">
        <v>30</v>
      </c>
      <c r="AD124" s="4">
        <v>145</v>
      </c>
      <c r="AE124" s="4" t="s">
        <v>40</v>
      </c>
      <c r="AF124" s="4">
        <v>22</v>
      </c>
      <c r="AG124" s="4">
        <v>22</v>
      </c>
      <c r="AH124" s="4">
        <v>25</v>
      </c>
      <c r="AI124" s="4" t="s">
        <v>40</v>
      </c>
      <c r="AJ124" s="4" t="s">
        <v>40</v>
      </c>
      <c r="AK124" s="4" t="s">
        <v>40</v>
      </c>
      <c r="AL124" s="4" t="s">
        <v>40</v>
      </c>
      <c r="AM124" s="1" t="s">
        <v>40</v>
      </c>
    </row>
    <row r="125" spans="1:39" ht="25.5">
      <c r="A125" s="6" t="str">
        <f>HYPERLINK("https://www.bioscidb.com/tag/gettag/d29e366e-789f-4408-928d-4aed3ab0b018","Tag")</f>
        <v>Tag</v>
      </c>
      <c r="B125" s="15" t="s">
        <v>827</v>
      </c>
      <c r="C125" s="3" t="s">
        <v>319</v>
      </c>
      <c r="D125" s="11" t="s">
        <v>318</v>
      </c>
      <c r="E125" s="11" t="s">
        <v>313</v>
      </c>
      <c r="F125" s="11" t="s">
        <v>40</v>
      </c>
      <c r="G125" s="1" t="s">
        <v>44</v>
      </c>
      <c r="H125" s="6" t="str">
        <f>HYPERLINK("https://www.bioscidb.com/browse/deal_bg/17514","Deal")</f>
        <v>Deal</v>
      </c>
      <c r="I125" s="4">
        <v>0.4</v>
      </c>
      <c r="J125" s="4">
        <v>7</v>
      </c>
      <c r="K125" s="4">
        <v>7.000000000000001</v>
      </c>
      <c r="L125" s="4" t="s">
        <v>40</v>
      </c>
      <c r="M125" s="4">
        <v>7.000000000000001</v>
      </c>
      <c r="N125" s="11" t="s">
        <v>321</v>
      </c>
      <c r="O125" s="1" t="s">
        <v>80</v>
      </c>
      <c r="P125" s="11" t="s">
        <v>320</v>
      </c>
      <c r="Q125" s="1" t="s">
        <v>42</v>
      </c>
      <c r="R125" s="11" t="s">
        <v>68</v>
      </c>
      <c r="S125" s="11" t="s">
        <v>322</v>
      </c>
      <c r="T125" s="11" t="s">
        <v>323</v>
      </c>
      <c r="U125" s="1" t="s">
        <v>40</v>
      </c>
      <c r="V125" s="1" t="s">
        <v>40</v>
      </c>
      <c r="W125" s="4" t="s">
        <v>40</v>
      </c>
      <c r="X125" s="4" t="s">
        <v>40</v>
      </c>
      <c r="Y125" s="4" t="s">
        <v>40</v>
      </c>
      <c r="Z125" s="4" t="s">
        <v>40</v>
      </c>
      <c r="AA125" s="4" t="s">
        <v>40</v>
      </c>
      <c r="AB125" s="4">
        <v>4.85</v>
      </c>
      <c r="AC125" s="4" t="s">
        <v>40</v>
      </c>
      <c r="AD125" s="4">
        <v>5.25</v>
      </c>
      <c r="AE125" s="4">
        <v>1.75</v>
      </c>
      <c r="AF125" s="4">
        <v>7.000000000000001</v>
      </c>
      <c r="AG125" s="4">
        <v>7.000000000000001</v>
      </c>
      <c r="AH125" s="4">
        <v>7.000000000000001</v>
      </c>
      <c r="AI125" s="4" t="s">
        <v>40</v>
      </c>
      <c r="AJ125" s="4" t="s">
        <v>40</v>
      </c>
      <c r="AK125" s="4" t="s">
        <v>40</v>
      </c>
      <c r="AL125" s="4" t="s">
        <v>40</v>
      </c>
      <c r="AM125" s="1" t="s">
        <v>324</v>
      </c>
    </row>
    <row r="126" spans="1:39" ht="38.25">
      <c r="A126" s="6" t="str">
        <f>HYPERLINK("https://www.bioscidb.com/tag/gettag/e9982b9e-6e7b-464a-a5ba-a26c0388084c","Tag")</f>
        <v>Tag</v>
      </c>
      <c r="B126" s="15" t="s">
        <v>874</v>
      </c>
      <c r="C126" s="3" t="s">
        <v>152</v>
      </c>
      <c r="D126" s="11" t="s">
        <v>325</v>
      </c>
      <c r="E126" s="11" t="s">
        <v>326</v>
      </c>
      <c r="F126" s="11" t="s">
        <v>85</v>
      </c>
      <c r="G126" s="1" t="s">
        <v>44</v>
      </c>
      <c r="H126" s="6" t="str">
        <f>HYPERLINK("https://www.bioscidb.com/browse/deal_bg/7953","Deal")</f>
        <v>Deal</v>
      </c>
      <c r="I126" s="4" t="s">
        <v>40</v>
      </c>
      <c r="J126" s="4">
        <v>280.7</v>
      </c>
      <c r="K126" s="4">
        <v>10</v>
      </c>
      <c r="L126" s="4">
        <v>75</v>
      </c>
      <c r="M126" s="4">
        <v>10</v>
      </c>
      <c r="N126" s="11" t="s">
        <v>328</v>
      </c>
      <c r="O126" s="1" t="s">
        <v>110</v>
      </c>
      <c r="P126" s="11" t="s">
        <v>327</v>
      </c>
      <c r="Q126" s="1" t="s">
        <v>42</v>
      </c>
      <c r="R126" s="11" t="s">
        <v>68</v>
      </c>
      <c r="S126" s="11" t="s">
        <v>329</v>
      </c>
      <c r="T126" s="11" t="s">
        <v>330</v>
      </c>
      <c r="U126" s="1" t="s">
        <v>166</v>
      </c>
      <c r="V126" s="1" t="s">
        <v>167</v>
      </c>
      <c r="W126" s="4">
        <v>75</v>
      </c>
      <c r="X126" s="4" t="s">
        <v>40</v>
      </c>
      <c r="Y126" s="4">
        <v>60</v>
      </c>
      <c r="Z126" s="4">
        <v>0.3</v>
      </c>
      <c r="AA126" s="4">
        <v>100</v>
      </c>
      <c r="AB126" s="4">
        <v>30</v>
      </c>
      <c r="AC126" s="4">
        <v>15.7</v>
      </c>
      <c r="AD126" s="4">
        <v>280.7</v>
      </c>
      <c r="AE126" s="4" t="s">
        <v>40</v>
      </c>
      <c r="AF126" s="4">
        <v>6</v>
      </c>
      <c r="AG126" s="4">
        <v>6</v>
      </c>
      <c r="AH126" s="4">
        <v>7.000000000000001</v>
      </c>
      <c r="AI126" s="4" t="s">
        <v>40</v>
      </c>
      <c r="AJ126" s="4" t="s">
        <v>40</v>
      </c>
      <c r="AK126" s="4" t="s">
        <v>40</v>
      </c>
      <c r="AL126" s="4" t="s">
        <v>40</v>
      </c>
      <c r="AM126" s="1" t="s">
        <v>331</v>
      </c>
    </row>
    <row r="127" spans="1:39" ht="25.5">
      <c r="A127" s="6" t="str">
        <f>HYPERLINK("https://www.bioscidb.com/tag/gettag/7a9304f0-2511-42ec-820b-7d173a04e4a6","Tag")</f>
        <v>Tag</v>
      </c>
      <c r="B127" s="15" t="s">
        <v>847</v>
      </c>
      <c r="C127" s="3" t="s">
        <v>152</v>
      </c>
      <c r="D127" s="11" t="s">
        <v>150</v>
      </c>
      <c r="E127" s="11" t="s">
        <v>151</v>
      </c>
      <c r="F127" s="11" t="s">
        <v>40</v>
      </c>
      <c r="G127" s="1" t="s">
        <v>44</v>
      </c>
      <c r="H127" s="6" t="str">
        <f>HYPERLINK("https://www.bioscidb.com/browse/deal_bg/3644","Deal")</f>
        <v>Deal</v>
      </c>
      <c r="I127" s="4">
        <v>10</v>
      </c>
      <c r="J127" s="4">
        <v>105</v>
      </c>
      <c r="K127" s="4">
        <v>22</v>
      </c>
      <c r="L127" s="4" t="s">
        <v>40</v>
      </c>
      <c r="M127" s="4">
        <v>22</v>
      </c>
      <c r="N127" s="11" t="s">
        <v>154</v>
      </c>
      <c r="O127" s="1" t="s">
        <v>155</v>
      </c>
      <c r="P127" s="11" t="s">
        <v>153</v>
      </c>
      <c r="Q127" s="1" t="s">
        <v>42</v>
      </c>
      <c r="R127" s="11" t="s">
        <v>156</v>
      </c>
      <c r="S127" s="11" t="s">
        <v>111</v>
      </c>
      <c r="T127" s="11" t="s">
        <v>112</v>
      </c>
      <c r="U127" s="1" t="s">
        <v>48</v>
      </c>
      <c r="V127" s="1" t="s">
        <v>49</v>
      </c>
      <c r="W127" s="4" t="s">
        <v>40</v>
      </c>
      <c r="X127" s="4" t="s">
        <v>40</v>
      </c>
      <c r="Y127" s="4">
        <v>45</v>
      </c>
      <c r="Z127" s="4" t="s">
        <v>40</v>
      </c>
      <c r="AA127" s="4" t="s">
        <v>40</v>
      </c>
      <c r="AB127" s="4">
        <v>24</v>
      </c>
      <c r="AC127" s="4">
        <v>26</v>
      </c>
      <c r="AD127" s="4">
        <v>105</v>
      </c>
      <c r="AE127" s="4" t="s">
        <v>40</v>
      </c>
      <c r="AF127" s="4">
        <v>15</v>
      </c>
      <c r="AG127" s="4">
        <v>17</v>
      </c>
      <c r="AH127" s="4">
        <v>20</v>
      </c>
      <c r="AI127" s="4" t="s">
        <v>40</v>
      </c>
      <c r="AJ127" s="4" t="s">
        <v>40</v>
      </c>
      <c r="AK127" s="4" t="s">
        <v>40</v>
      </c>
      <c r="AL127" s="4" t="s">
        <v>40</v>
      </c>
      <c r="AM127" s="1" t="s">
        <v>40</v>
      </c>
    </row>
    <row r="128" spans="1:39" ht="25.5">
      <c r="A128" s="6" t="str">
        <f>HYPERLINK("https://www.bioscidb.com/tag/gettag/0396018f-a398-4b2b-bbcf-3f0743f782fc","Tag")</f>
        <v>Tag</v>
      </c>
      <c r="B128" s="11" t="s">
        <v>875</v>
      </c>
      <c r="C128" s="3" t="s">
        <v>579</v>
      </c>
      <c r="D128" s="11" t="s">
        <v>577</v>
      </c>
      <c r="E128" s="11" t="s">
        <v>578</v>
      </c>
      <c r="F128" s="11" t="s">
        <v>582</v>
      </c>
      <c r="G128" s="1" t="s">
        <v>443</v>
      </c>
      <c r="H128" s="6" t="str">
        <f>HYPERLINK("https://www.bioscidb.com/browse/deal_bg/5614","Deal")</f>
        <v>Deal</v>
      </c>
      <c r="I128" s="4" t="s">
        <v>40</v>
      </c>
      <c r="J128" s="4" t="s">
        <v>40</v>
      </c>
      <c r="K128" s="4">
        <v>20</v>
      </c>
      <c r="L128" s="4" t="s">
        <v>40</v>
      </c>
      <c r="M128" s="4">
        <v>20</v>
      </c>
      <c r="N128" s="11" t="s">
        <v>563</v>
      </c>
      <c r="O128" s="1" t="s">
        <v>427</v>
      </c>
      <c r="P128" s="11" t="s">
        <v>580</v>
      </c>
      <c r="Q128" s="1" t="s">
        <v>42</v>
      </c>
      <c r="R128" s="11" t="s">
        <v>68</v>
      </c>
      <c r="S128" s="11" t="s">
        <v>111</v>
      </c>
      <c r="T128" s="11" t="s">
        <v>581</v>
      </c>
      <c r="U128" s="1" t="s">
        <v>48</v>
      </c>
      <c r="V128" s="1" t="s">
        <v>49</v>
      </c>
      <c r="W128" s="4" t="s">
        <v>40</v>
      </c>
      <c r="X128" s="4" t="s">
        <v>40</v>
      </c>
      <c r="Y128" s="4" t="s">
        <v>40</v>
      </c>
      <c r="Z128" s="4" t="s">
        <v>40</v>
      </c>
      <c r="AA128" s="4" t="s">
        <v>40</v>
      </c>
      <c r="AB128" s="4" t="s">
        <v>40</v>
      </c>
      <c r="AC128" s="4" t="s">
        <v>40</v>
      </c>
      <c r="AD128" s="4" t="s">
        <v>40</v>
      </c>
      <c r="AE128" s="4" t="s">
        <v>40</v>
      </c>
      <c r="AF128" s="4">
        <v>20</v>
      </c>
      <c r="AG128" s="4">
        <v>20</v>
      </c>
      <c r="AH128" s="4">
        <v>20</v>
      </c>
      <c r="AI128" s="4" t="s">
        <v>40</v>
      </c>
      <c r="AJ128" s="4" t="s">
        <v>40</v>
      </c>
      <c r="AK128" s="4" t="s">
        <v>40</v>
      </c>
      <c r="AL128" s="4" t="s">
        <v>40</v>
      </c>
      <c r="AM128" s="1" t="s">
        <v>40</v>
      </c>
    </row>
    <row r="129" spans="1:39" ht="25.5">
      <c r="A129" s="6" t="str">
        <f>HYPERLINK("https://www.bioscidb.com/tag/gettag/dff7a88a-b73a-4fd7-9ebc-0fdb6981e905","Tag")</f>
        <v>Tag</v>
      </c>
      <c r="B129" s="15" t="s">
        <v>827</v>
      </c>
      <c r="C129" s="3" t="s">
        <v>332</v>
      </c>
      <c r="D129" s="11" t="s">
        <v>325</v>
      </c>
      <c r="E129" s="11" t="s">
        <v>75</v>
      </c>
      <c r="F129" s="11" t="s">
        <v>85</v>
      </c>
      <c r="G129" s="1" t="s">
        <v>44</v>
      </c>
      <c r="H129" s="6" t="str">
        <f>HYPERLINK("https://www.bioscidb.com/browse/deal_bg/276","Deal")</f>
        <v>Deal</v>
      </c>
      <c r="I129" s="4">
        <v>3.3</v>
      </c>
      <c r="J129" s="4">
        <v>56</v>
      </c>
      <c r="K129" s="4">
        <v>11</v>
      </c>
      <c r="L129" s="4" t="s">
        <v>40</v>
      </c>
      <c r="M129" s="4">
        <v>11</v>
      </c>
      <c r="N129" s="11" t="s">
        <v>248</v>
      </c>
      <c r="O129" s="1" t="s">
        <v>132</v>
      </c>
      <c r="P129" s="11" t="s">
        <v>333</v>
      </c>
      <c r="Q129" s="1" t="s">
        <v>42</v>
      </c>
      <c r="R129" s="11" t="s">
        <v>68</v>
      </c>
      <c r="S129" s="11" t="s">
        <v>81</v>
      </c>
      <c r="T129" s="11" t="s">
        <v>334</v>
      </c>
      <c r="U129" s="1" t="s">
        <v>166</v>
      </c>
      <c r="V129" s="1" t="s">
        <v>167</v>
      </c>
      <c r="W129" s="4" t="s">
        <v>40</v>
      </c>
      <c r="X129" s="4" t="s">
        <v>40</v>
      </c>
      <c r="Y129" s="4">
        <v>3.6</v>
      </c>
      <c r="Z129" s="4">
        <v>0.33</v>
      </c>
      <c r="AA129" s="4" t="s">
        <v>40</v>
      </c>
      <c r="AB129" s="4">
        <v>36</v>
      </c>
      <c r="AC129" s="4">
        <v>13</v>
      </c>
      <c r="AD129" s="4">
        <v>55.9</v>
      </c>
      <c r="AE129" s="4" t="s">
        <v>40</v>
      </c>
      <c r="AF129" s="4">
        <v>10</v>
      </c>
      <c r="AG129" s="4">
        <v>10</v>
      </c>
      <c r="AH129" s="4">
        <v>10</v>
      </c>
      <c r="AI129" s="4" t="s">
        <v>40</v>
      </c>
      <c r="AJ129" s="4" t="s">
        <v>40</v>
      </c>
      <c r="AK129" s="4" t="s">
        <v>40</v>
      </c>
      <c r="AL129" s="4" t="s">
        <v>40</v>
      </c>
      <c r="AM129" s="1" t="s">
        <v>40</v>
      </c>
    </row>
    <row r="130" spans="1:39" ht="25.5">
      <c r="A130" s="6" t="str">
        <f>HYPERLINK("https://www.bioscidb.com/tag/gettag/c88dd53f-ef91-4489-8668-b935298cbb31","Tag")</f>
        <v>Tag</v>
      </c>
      <c r="B130" s="15" t="s">
        <v>827</v>
      </c>
      <c r="C130" s="3" t="s">
        <v>472</v>
      </c>
      <c r="D130" s="11" t="s">
        <v>141</v>
      </c>
      <c r="E130" s="11" t="s">
        <v>471</v>
      </c>
      <c r="F130" s="11" t="s">
        <v>67</v>
      </c>
      <c r="G130" s="1" t="s">
        <v>44</v>
      </c>
      <c r="H130" s="6" t="str">
        <f>HYPERLINK("https://www.bioscidb.com/browse/deal_bg/14741","Deal")</f>
        <v>Deal</v>
      </c>
      <c r="I130" s="4">
        <v>1</v>
      </c>
      <c r="J130" s="4">
        <v>2</v>
      </c>
      <c r="K130" s="4">
        <v>50</v>
      </c>
      <c r="L130" s="4">
        <v>1</v>
      </c>
      <c r="M130" s="4" t="s">
        <v>40</v>
      </c>
      <c r="N130" s="11" t="s">
        <v>474</v>
      </c>
      <c r="O130" s="1" t="s">
        <v>132</v>
      </c>
      <c r="P130" s="11" t="s">
        <v>473</v>
      </c>
      <c r="Q130" s="1" t="s">
        <v>42</v>
      </c>
      <c r="R130" s="11" t="s">
        <v>476</v>
      </c>
      <c r="S130" s="11" t="s">
        <v>182</v>
      </c>
      <c r="T130" s="11" t="s">
        <v>475</v>
      </c>
      <c r="U130" s="1" t="s">
        <v>48</v>
      </c>
      <c r="V130" s="1" t="s">
        <v>49</v>
      </c>
      <c r="W130" s="4">
        <v>1</v>
      </c>
      <c r="X130" s="4" t="s">
        <v>40</v>
      </c>
      <c r="Y130" s="4" t="s">
        <v>40</v>
      </c>
      <c r="Z130" s="4">
        <v>0.2</v>
      </c>
      <c r="AA130" s="4" t="s">
        <v>40</v>
      </c>
      <c r="AB130" s="4" t="s">
        <v>40</v>
      </c>
      <c r="AC130" s="4" t="s">
        <v>40</v>
      </c>
      <c r="AD130" s="4">
        <v>2</v>
      </c>
      <c r="AE130" s="4" t="s">
        <v>40</v>
      </c>
      <c r="AF130" s="4" t="s">
        <v>40</v>
      </c>
      <c r="AG130" s="4" t="s">
        <v>40</v>
      </c>
      <c r="AH130" s="4" t="s">
        <v>40</v>
      </c>
      <c r="AI130" s="4" t="s">
        <v>40</v>
      </c>
      <c r="AJ130" s="4" t="s">
        <v>40</v>
      </c>
      <c r="AK130" s="4" t="s">
        <v>40</v>
      </c>
      <c r="AL130" s="4">
        <v>50</v>
      </c>
      <c r="AM130" s="1" t="s">
        <v>40</v>
      </c>
    </row>
    <row r="131" spans="1:39" ht="25.5">
      <c r="A131" s="6" t="str">
        <f>HYPERLINK("https://www.bioscidb.com/tag/gettag/25e5a58d-afc7-4591-912d-f7ef559440ea","Tag")</f>
        <v>Tag</v>
      </c>
      <c r="B131" s="15" t="s">
        <v>847</v>
      </c>
      <c r="C131" s="3" t="s">
        <v>472</v>
      </c>
      <c r="D131" s="11" t="s">
        <v>704</v>
      </c>
      <c r="E131" s="11" t="s">
        <v>230</v>
      </c>
      <c r="F131" s="11" t="s">
        <v>237</v>
      </c>
      <c r="G131" s="1" t="s">
        <v>44</v>
      </c>
      <c r="H131" s="6" t="str">
        <f>HYPERLINK("https://www.bioscidb.com/browse/deal_bg/51","Deal")</f>
        <v>Deal</v>
      </c>
      <c r="I131" s="4">
        <v>13</v>
      </c>
      <c r="J131" s="4">
        <v>43.75</v>
      </c>
      <c r="K131" s="4">
        <v>40</v>
      </c>
      <c r="L131" s="4" t="s">
        <v>40</v>
      </c>
      <c r="M131" s="4" t="s">
        <v>40</v>
      </c>
      <c r="N131" s="11" t="s">
        <v>706</v>
      </c>
      <c r="O131" s="1" t="s">
        <v>427</v>
      </c>
      <c r="P131" s="11" t="s">
        <v>705</v>
      </c>
      <c r="Q131" s="1" t="s">
        <v>42</v>
      </c>
      <c r="R131" s="11" t="s">
        <v>707</v>
      </c>
      <c r="S131" s="11" t="s">
        <v>73</v>
      </c>
      <c r="T131" s="11" t="s">
        <v>74</v>
      </c>
      <c r="U131" s="1" t="s">
        <v>394</v>
      </c>
      <c r="V131" s="1" t="s">
        <v>40</v>
      </c>
      <c r="W131" s="4" t="s">
        <v>40</v>
      </c>
      <c r="X131" s="4" t="s">
        <v>40</v>
      </c>
      <c r="Y131" s="4" t="s">
        <v>40</v>
      </c>
      <c r="Z131" s="4" t="s">
        <v>40</v>
      </c>
      <c r="AA131" s="4" t="s">
        <v>40</v>
      </c>
      <c r="AB131" s="4">
        <v>25</v>
      </c>
      <c r="AC131" s="4">
        <v>5.75</v>
      </c>
      <c r="AD131" s="4">
        <v>43.75</v>
      </c>
      <c r="AE131" s="4" t="s">
        <v>40</v>
      </c>
      <c r="AF131" s="4" t="s">
        <v>40</v>
      </c>
      <c r="AG131" s="4" t="s">
        <v>40</v>
      </c>
      <c r="AH131" s="4" t="s">
        <v>40</v>
      </c>
      <c r="AI131" s="4" t="s">
        <v>40</v>
      </c>
      <c r="AJ131" s="4">
        <v>40</v>
      </c>
      <c r="AK131" s="4" t="s">
        <v>40</v>
      </c>
      <c r="AL131" s="4" t="s">
        <v>40</v>
      </c>
      <c r="AM131" s="1" t="s">
        <v>40</v>
      </c>
    </row>
    <row r="133" spans="7:38" ht="12.75">
      <c r="G133" s="13" t="s">
        <v>824</v>
      </c>
      <c r="I133" s="2" t="str">
        <f>DOLLAR(AVERAGE(I2:I131))</f>
        <v>$27.56</v>
      </c>
      <c r="J133" s="2" t="str">
        <f>DOLLAR(AVERAGE(J2:J131))</f>
        <v>$281.04</v>
      </c>
      <c r="K133" s="12">
        <f>AVERAGE(K2:K131)</f>
        <v>14.884615384615385</v>
      </c>
      <c r="L133" s="2" t="str">
        <f>DOLLAR(AVERAGE(L2:L131))</f>
        <v>$27.69</v>
      </c>
      <c r="M133" s="12">
        <f>AVERAGE(M2:M131)</f>
        <v>11.352941176470589</v>
      </c>
      <c r="V133" s="13" t="s">
        <v>824</v>
      </c>
      <c r="W133" s="2" t="str">
        <f>DOLLAR(AVERAGE(W2:W131))</f>
        <v>$24.72</v>
      </c>
      <c r="X133" s="2" t="str">
        <f>DOLLAR(AVERAGE(X2:X131))</f>
        <v>$26.25</v>
      </c>
      <c r="Y133" s="2" t="str">
        <f>DOLLAR(AVERAGE(Y2:Y131))</f>
        <v>$13.59</v>
      </c>
      <c r="Z133" s="2" t="str">
        <f>DOLLAR(AVERAGE(Z2:Z131))</f>
        <v>$0.29</v>
      </c>
      <c r="AA133" s="2" t="str">
        <f>DOLLAR(AVERAGE(AA2:AA131))</f>
        <v>$57.00</v>
      </c>
      <c r="AB133" s="2" t="str">
        <f>DOLLAR(AVERAGE(AB2:AB131))</f>
        <v>$60.75</v>
      </c>
      <c r="AC133" s="2" t="str">
        <f>DOLLAR(AVERAGE(AC2:AC131))</f>
        <v>$94.16</v>
      </c>
      <c r="AD133" s="2" t="str">
        <f>DOLLAR(AVERAGE(AD2:AD131))</f>
        <v>$207.16</v>
      </c>
      <c r="AE133" s="2" t="str">
        <f>DOLLAR(AVERAGE(AE2:AE131))</f>
        <v>$182.62</v>
      </c>
      <c r="AF133" s="12">
        <f>AVERAGE(AF2:AF131)</f>
        <v>8.06060606060606</v>
      </c>
      <c r="AG133" s="12">
        <f>AVERAGE(AG2:AG131)</f>
        <v>8.727272727272727</v>
      </c>
      <c r="AH133" s="12">
        <f>AVERAGE(AH2:AH131)</f>
        <v>9.585858585858587</v>
      </c>
      <c r="AI133" s="12">
        <f>AVERAGE(AI2:AI131)</f>
        <v>25</v>
      </c>
      <c r="AJ133" s="12">
        <f>AVERAGE(AJ2:AJ131)</f>
        <v>30</v>
      </c>
      <c r="AK133" s="12">
        <f>AVERAGE(AK2:AK131)</f>
        <v>25.5</v>
      </c>
      <c r="AL133" s="12">
        <f>AVERAGE(AL2:AL131)</f>
        <v>50</v>
      </c>
    </row>
    <row r="134" spans="7:38" ht="12.75">
      <c r="G134" s="13" t="s">
        <v>825</v>
      </c>
      <c r="I134" s="2" t="str">
        <f>DOLLAR(MEDIAN(I2:I131))</f>
        <v>$5.00</v>
      </c>
      <c r="J134" s="2" t="str">
        <f>DOLLAR(MEDIAN(J2:J131))</f>
        <v>$79.50</v>
      </c>
      <c r="K134" s="12">
        <f>MEDIAN(K2:K131)</f>
        <v>10</v>
      </c>
      <c r="L134" s="2" t="str">
        <f>DOLLAR(MEDIAN(L2:L131))</f>
        <v>$15.00</v>
      </c>
      <c r="M134" s="12">
        <f>MEDIAN(M2:M131)</f>
        <v>10</v>
      </c>
      <c r="V134" s="13" t="s">
        <v>825</v>
      </c>
      <c r="W134" s="2" t="str">
        <f>DOLLAR(MEDIAN(W2:W131))</f>
        <v>$14.00</v>
      </c>
      <c r="X134" s="2" t="str">
        <f>DOLLAR(MEDIAN(X2:X131))</f>
        <v>$20.00</v>
      </c>
      <c r="Y134" s="2" t="str">
        <f>DOLLAR(MEDIAN(Y2:Y131))</f>
        <v>$5.90</v>
      </c>
      <c r="Z134" s="2" t="str">
        <f>DOLLAR(MEDIAN(Z2:Z131))</f>
        <v>$0.28</v>
      </c>
      <c r="AA134" s="2" t="str">
        <f>DOLLAR(MEDIAN(AA2:AA131))</f>
        <v>$57.50</v>
      </c>
      <c r="AB134" s="2" t="str">
        <f>DOLLAR(MEDIAN(AB2:AB131))</f>
        <v>$27.50</v>
      </c>
      <c r="AC134" s="2" t="str">
        <f>DOLLAR(MEDIAN(AC2:AC131))</f>
        <v>$38.00</v>
      </c>
      <c r="AD134" s="2" t="str">
        <f>DOLLAR(MEDIAN(AD2:AD131))</f>
        <v>$58.55</v>
      </c>
      <c r="AE134" s="2" t="str">
        <f>DOLLAR(MEDIAN(AE2:AE131))</f>
        <v>$61.00</v>
      </c>
      <c r="AF134" s="12">
        <f>MEDIAN(AF2:AF131)</f>
        <v>7.000000000000001</v>
      </c>
      <c r="AG134" s="12">
        <f aca="true" t="shared" si="0" ref="AG134:AL134">MEDIAN(AG2:AG131)</f>
        <v>7.000000000000001</v>
      </c>
      <c r="AH134" s="12">
        <f t="shared" si="0"/>
        <v>8</v>
      </c>
      <c r="AI134" s="12">
        <f t="shared" si="0"/>
        <v>25</v>
      </c>
      <c r="AJ134" s="12">
        <f t="shared" si="0"/>
        <v>30</v>
      </c>
      <c r="AK134" s="12">
        <f t="shared" si="0"/>
        <v>19</v>
      </c>
      <c r="AL134" s="12">
        <f t="shared" si="0"/>
        <v>50</v>
      </c>
    </row>
    <row r="135" spans="3:4" ht="12.75">
      <c r="C135" s="2" t="s">
        <v>823</v>
      </c>
      <c r="D135" s="5" t="str">
        <f>HYPERLINK("https://www.bioscidb.com/search/tagresults/3b07fb53c801ff2e17ea262eb32f1e60","Category: Product License, Provision: License Options, Modifiers: Compulsory License, Primary documents only")</f>
        <v>Category: Product License, Provision: License Options, Modifiers: Compulsory License, Primary documents only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medwards</dc:creator>
  <cp:keywords/>
  <dc:description/>
  <cp:lastModifiedBy>MEdwards</cp:lastModifiedBy>
  <dcterms:created xsi:type="dcterms:W3CDTF">2020-10-31T17:44:36Z</dcterms:created>
  <dcterms:modified xsi:type="dcterms:W3CDTF">2020-11-01T00:52:26Z</dcterms:modified>
  <cp:category/>
  <cp:version/>
  <cp:contentType/>
  <cp:contentStatus/>
</cp:coreProperties>
</file>