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6152" windowHeight="10236" activeTab="0"/>
  </bookViews>
  <sheets>
    <sheet name="All CVRs" sheetId="1" r:id="rId1"/>
    <sheet name="CVRs By Stage" sheetId="2" r:id="rId2"/>
    <sheet name="CVR Tags" sheetId="3" r:id="rId3"/>
  </sheets>
  <definedNames/>
  <calcPr fullCalcOnLoad="1"/>
</workbook>
</file>

<file path=xl/sharedStrings.xml><?xml version="1.0" encoding="utf-8"?>
<sst xmlns="http://schemas.openxmlformats.org/spreadsheetml/2006/main" count="8443" uniqueCount="1041">
  <si>
    <t>Deal Link</t>
  </si>
  <si>
    <t>Deal Size ($M)</t>
  </si>
  <si>
    <t>Deal Date</t>
  </si>
  <si>
    <t>Deal Source</t>
  </si>
  <si>
    <t>Deal Subject</t>
  </si>
  <si>
    <t>Has Tags</t>
  </si>
  <si>
    <t>Upfront Cash ($M)</t>
  </si>
  <si>
    <t>Upfront Equity ($M)</t>
  </si>
  <si>
    <t>Sales Milestones ($M)</t>
  </si>
  <si>
    <t>Maximum Royalty (%)</t>
  </si>
  <si>
    <t>Financial Term Explanations</t>
  </si>
  <si>
    <t>Disease</t>
  </si>
  <si>
    <t>Technology</t>
  </si>
  <si>
    <t>2/2008</t>
  </si>
  <si>
    <t/>
  </si>
  <si>
    <t>FOIA</t>
  </si>
  <si>
    <t>PDL BioPharma</t>
  </si>
  <si>
    <t>Cornerstone Therapeutics, Chiesi Farmaceutici, EKR Therapeutics</t>
  </si>
  <si>
    <t>CARDENE (nicardipine), RETAVASE (reteplase) and ularitide in US, NA &amp; worldwide</t>
  </si>
  <si>
    <t>Yes</t>
  </si>
  <si>
    <t>5% or 10% royalty, depending on Product</t>
  </si>
  <si>
    <t>Cardiovascular</t>
  </si>
  <si>
    <t>Synthetics</t>
  </si>
  <si>
    <t>Major Biotech</t>
  </si>
  <si>
    <t>Infectious-Viral</t>
  </si>
  <si>
    <t>Formulation</t>
  </si>
  <si>
    <t>1/2011</t>
  </si>
  <si>
    <t>SEC Full</t>
  </si>
  <si>
    <t>CyDex</t>
  </si>
  <si>
    <t>Ligand</t>
  </si>
  <si>
    <t>Acquisition for cash</t>
  </si>
  <si>
    <t>$31.6M plus $4.3M on 1st anniv | $5.5M for Onyx Drug approval, plus 10-20% of Revenues above threshold</t>
  </si>
  <si>
    <t>Drug Delivery</t>
  </si>
  <si>
    <t>Other</t>
  </si>
  <si>
    <t>10/2009</t>
  </si>
  <si>
    <t>Metabasis Therapeutics</t>
  </si>
  <si>
    <t>8/2009</t>
  </si>
  <si>
    <t>Neurogen</t>
  </si>
  <si>
    <t>Acquisition for stock</t>
  </si>
  <si>
    <t>9/2008</t>
  </si>
  <si>
    <t>Pharmacopeia</t>
  </si>
  <si>
    <t>$15M on sale or license of DARA</t>
  </si>
  <si>
    <t>12/2008</t>
  </si>
  <si>
    <t>Phase II</t>
  </si>
  <si>
    <t>12/2011</t>
  </si>
  <si>
    <t>SEC Redacted</t>
  </si>
  <si>
    <t>Enobia Pharma</t>
  </si>
  <si>
    <t>Alexion</t>
  </si>
  <si>
    <t>$470M in agg milestones</t>
  </si>
  <si>
    <t>Endocrinological &amp; Metabolic</t>
  </si>
  <si>
    <t>Phase III</t>
  </si>
  <si>
    <t>2/2003</t>
  </si>
  <si>
    <t>Cell Pathways</t>
  </si>
  <si>
    <t>Astellas Pharma, OSI Pharmaceuticals</t>
  </si>
  <si>
    <t>Japanese Pharma</t>
  </si>
  <si>
    <t>Cancer</t>
  </si>
  <si>
    <t>Approved</t>
  </si>
  <si>
    <t>4/2007</t>
  </si>
  <si>
    <t>Alliant Pharmaceuticals</t>
  </si>
  <si>
    <t>Shionogi, Sciele Pharma</t>
  </si>
  <si>
    <t>$30M earnout</t>
  </si>
  <si>
    <t>Respiratory</t>
  </si>
  <si>
    <t>3/2011</t>
  </si>
  <si>
    <t>GeminX</t>
  </si>
  <si>
    <t>Teva, Cephalon</t>
  </si>
  <si>
    <t>$300M in agg milestones</t>
  </si>
  <si>
    <t>Mid Tier Pharma</t>
  </si>
  <si>
    <t>Phase I</t>
  </si>
  <si>
    <t>7/2013</t>
  </si>
  <si>
    <t>PR</t>
  </si>
  <si>
    <t>Acetylon Pharmaceuticals</t>
  </si>
  <si>
    <t>Celgene</t>
  </si>
  <si>
    <t>Option to acquire</t>
  </si>
  <si>
    <t>$850M in sales milestones, per 7/29/13 PR | $250M in dev &amp; reg milestones, per 7/29/13 PR | Min $500M buyout payment, per 7/29/13 PR</t>
  </si>
  <si>
    <t>Cancer, Central Nervous System</t>
  </si>
  <si>
    <t>6/2013</t>
  </si>
  <si>
    <t>Aragon Pharmaceuticals</t>
  </si>
  <si>
    <t>Johnson &amp; Johnson</t>
  </si>
  <si>
    <t>$350M in agg milestones</t>
  </si>
  <si>
    <t>Top Pharma</t>
  </si>
  <si>
    <t>Thallion Pharmaceuticals</t>
  </si>
  <si>
    <t>Bellus Health</t>
  </si>
  <si>
    <t>Acquisition for cash &amp; CVR</t>
  </si>
  <si>
    <t>Infectious-Bacterial</t>
  </si>
  <si>
    <t>Monoclonals</t>
  </si>
  <si>
    <t>Ceptaris Therapeutics</t>
  </si>
  <si>
    <t>Janssen, Johnson &amp; Johnson, Actelion</t>
  </si>
  <si>
    <t>plus CON agg milestones | $250M on signing</t>
  </si>
  <si>
    <t>Major Biotech, Top Pharma</t>
  </si>
  <si>
    <t>Drug Delivery, Synthetics</t>
  </si>
  <si>
    <t>Preclinical</t>
  </si>
  <si>
    <t>8/2013</t>
  </si>
  <si>
    <t>Amplimmune</t>
  </si>
  <si>
    <t>AstraZeneca, MedImmune</t>
  </si>
  <si>
    <t>$275M in agg milestones</t>
  </si>
  <si>
    <t>Autoimmune/Inflammatory, Cancer</t>
  </si>
  <si>
    <t>Monoclonals, Recombinant DNA</t>
  </si>
  <si>
    <t>1/2006</t>
  </si>
  <si>
    <t>Montigen Pharmaceuticals</t>
  </si>
  <si>
    <t>Astex Pharmaceuticals, Otsuka Pharmaceutical, SuperGen</t>
  </si>
  <si>
    <t>Acquisition for cash and shares</t>
  </si>
  <si>
    <t>Acton Pharmaceuticals</t>
  </si>
  <si>
    <t>Meda AB</t>
  </si>
  <si>
    <t>2/2011</t>
  </si>
  <si>
    <t>Plexxikon</t>
  </si>
  <si>
    <t>Daiichi Sankyo</t>
  </si>
  <si>
    <t>Acquisiton for cash</t>
  </si>
  <si>
    <t>Calistoga Pharmaceuticals</t>
  </si>
  <si>
    <t>Gilead</t>
  </si>
  <si>
    <t>$225M in agg milestones</t>
  </si>
  <si>
    <t>1/2012</t>
  </si>
  <si>
    <t>Avila Therapeutics</t>
  </si>
  <si>
    <t>$195M dev &amp; reg  milestones for AVL-292</t>
  </si>
  <si>
    <t>Intellikine</t>
  </si>
  <si>
    <t>Takeda</t>
  </si>
  <si>
    <t>10/2013</t>
  </si>
  <si>
    <t>Spirogen</t>
  </si>
  <si>
    <t>Pearl Therapeutics</t>
  </si>
  <si>
    <t>AstraZeneca</t>
  </si>
  <si>
    <t>Sideris Pharmaceuticals</t>
  </si>
  <si>
    <t>Novartis</t>
  </si>
  <si>
    <t>Option to acquire Sideris</t>
  </si>
  <si>
    <t>$300M including all milestones</t>
  </si>
  <si>
    <t>Hematologic</t>
  </si>
  <si>
    <t>6/2010</t>
  </si>
  <si>
    <t>TargeGen</t>
  </si>
  <si>
    <t>Sanofi</t>
  </si>
  <si>
    <t>11/2013</t>
  </si>
  <si>
    <t>Jennerex</t>
  </si>
  <si>
    <t>Sillajen</t>
  </si>
  <si>
    <t>$150M in agg payments</t>
  </si>
  <si>
    <t>Device</t>
  </si>
  <si>
    <t>Actavis, Allergan</t>
  </si>
  <si>
    <t>Apollo Endosurgery</t>
  </si>
  <si>
    <t>Sale of obesity intervention business for cash</t>
  </si>
  <si>
    <t>$20M in agg milestones</t>
  </si>
  <si>
    <t>12/2013</t>
  </si>
  <si>
    <t>1/2014</t>
  </si>
  <si>
    <t>Endo International, Endo Health Solutions</t>
  </si>
  <si>
    <t>Central Nervous System</t>
  </si>
  <si>
    <t>RoundTable Healthcare, Aqua Pharmaceuticals</t>
  </si>
  <si>
    <t>Almirall</t>
  </si>
  <si>
    <t>$75M in earnout milestones</t>
  </si>
  <si>
    <t>Dermatologic</t>
  </si>
  <si>
    <t>Syntaxin</t>
  </si>
  <si>
    <t>Ipsen</t>
  </si>
  <si>
    <t>28M Euros | 130M Euros in milestones ($172M)</t>
  </si>
  <si>
    <t>Central Nervous System, Endocrinological &amp; Metabolic, Genitourinary/Gynecologic</t>
  </si>
  <si>
    <t>Recombinant DNA</t>
  </si>
  <si>
    <t>2/2012</t>
  </si>
  <si>
    <t>Boston Biomedical</t>
  </si>
  <si>
    <t>Dainippon Sumitomo</t>
  </si>
  <si>
    <t>7/2014</t>
  </si>
  <si>
    <t>Aciex Therapeutics</t>
  </si>
  <si>
    <t>Nicox</t>
  </si>
  <si>
    <t>Acquisition for shares and CVRs</t>
  </si>
  <si>
    <t>Ophthalmic</t>
  </si>
  <si>
    <t>Acquisition of respiratory disease business</t>
  </si>
  <si>
    <t>$1.22B in agg milestones</t>
  </si>
  <si>
    <t>Filed</t>
  </si>
  <si>
    <t>7/2010</t>
  </si>
  <si>
    <t>Alnara Pharmaceuticals</t>
  </si>
  <si>
    <t>Lilly</t>
  </si>
  <si>
    <t>Gastrointestinal</t>
  </si>
  <si>
    <t>4/2006</t>
  </si>
  <si>
    <t>Boston Scientific</t>
  </si>
  <si>
    <t>Abbott</t>
  </si>
  <si>
    <t>Asset purchase of cardiovascular and endovascular products</t>
  </si>
  <si>
    <t>4/2012</t>
  </si>
  <si>
    <t>Allos Therapeutics</t>
  </si>
  <si>
    <t>Spectrum Pharmaceuticals</t>
  </si>
  <si>
    <t>$12M for add'l approvals</t>
  </si>
  <si>
    <t>10/2012</t>
  </si>
  <si>
    <t>ANI Pharmaceuticals</t>
  </si>
  <si>
    <t>BioSante Pharmaceuticals</t>
  </si>
  <si>
    <t>Merger agreement in all-stock transaction</t>
  </si>
  <si>
    <t>add'l compensation to BioSante shareholders related to license of LibiGel (female testosterone gel)</t>
  </si>
  <si>
    <t>4/2013</t>
  </si>
  <si>
    <t>Generics</t>
  </si>
  <si>
    <t>7/2008</t>
  </si>
  <si>
    <t>APP Pharmaceuticals</t>
  </si>
  <si>
    <t>Fresenius, Fresenius Kabi USA</t>
  </si>
  <si>
    <t>Acquisition for cash and CVR</t>
  </si>
  <si>
    <t>$23/sh | $970M ($6/CVR)</t>
  </si>
  <si>
    <t>11/2007</t>
  </si>
  <si>
    <t>Precimed</t>
  </si>
  <si>
    <t>Greatbatch</t>
  </si>
  <si>
    <t>Acquisition of orthopedics supplier for cash</t>
  </si>
  <si>
    <t>123M CHF | Up to 12M CHF earnout</t>
  </si>
  <si>
    <t>Bone Disease</t>
  </si>
  <si>
    <t>4/2014</t>
  </si>
  <si>
    <t>9/2017</t>
  </si>
  <si>
    <t>Zogenix</t>
  </si>
  <si>
    <t>Endo International</t>
  </si>
  <si>
    <t>Neuronex</t>
  </si>
  <si>
    <t>Acorda Therapeutics</t>
  </si>
  <si>
    <t>11/2012</t>
  </si>
  <si>
    <t>BioMimetic Therapeutics</t>
  </si>
  <si>
    <t>Wright Medical Technology</t>
  </si>
  <si>
    <t>$1.50/sh cash plus $4.97/sh of Wright shares | $3/sh in sales milestones | $3.50/sh on FDA approval</t>
  </si>
  <si>
    <t>Proprius Pharmaceuticals</t>
  </si>
  <si>
    <t>Pernix Therapeutics, Cypress Bioscience</t>
  </si>
  <si>
    <t>Acq  of NSAID company for cash &amp; shares</t>
  </si>
  <si>
    <t>Autoimmune/Inflammatory</t>
  </si>
  <si>
    <t>Callidus Biopharma</t>
  </si>
  <si>
    <t>Amicus Therapeutics</t>
  </si>
  <si>
    <t>Acquisition for shares</t>
  </si>
  <si>
    <t>$130M in agg payments</t>
  </si>
  <si>
    <t>5/2013</t>
  </si>
  <si>
    <t>Omthera Pharmaceuticals</t>
  </si>
  <si>
    <t>$120M in sales milestones if not previously paid based on indications/labeling | $120M in CVR payments, based on indications and labeling | $12.70/sh</t>
  </si>
  <si>
    <t>2013-19 IPOs</t>
  </si>
  <si>
    <t>Avigen</t>
  </si>
  <si>
    <t>MediciNova</t>
  </si>
  <si>
    <t>Acquisition for $1.24/sh in either cash or secured convertible notes</t>
  </si>
  <si>
    <t>Furiex</t>
  </si>
  <si>
    <t>Actavis, Allergan, Forest Laboratories</t>
  </si>
  <si>
    <t>Acquisition for cash plus CVR</t>
  </si>
  <si>
    <t>$10-30/CVR (up to $360M) | $95/sh</t>
  </si>
  <si>
    <t>S*BIO</t>
  </si>
  <si>
    <t>CTI BioPharma</t>
  </si>
  <si>
    <t>Pacritinib JAK2/FLT3 inhibitor for myelofibrosis and hematologic cancers</t>
  </si>
  <si>
    <t>low single-digit royalties, per CTI's 2015 10-K | $135M in agg milestones, per CTI's 2016 10-K</t>
  </si>
  <si>
    <t>Cancer, Hematologic</t>
  </si>
  <si>
    <t>1/2013</t>
  </si>
  <si>
    <t>Molecular Insight Pharmaceuticals</t>
  </si>
  <si>
    <t>Progenics Pharmaceuticals</t>
  </si>
  <si>
    <t>$70M in sales milestones, per Progenics' 2013 10-K | $23M in dev &amp; reg milestones, per Progenics' 2013 10-K | $12.9M in shares at signing</t>
  </si>
  <si>
    <t>11/2008</t>
  </si>
  <si>
    <t>RIT Oncology JV to market ZEV ALIN (lbritumomab Tiuxetan) in US</t>
  </si>
  <si>
    <t>" low to mid-single digits to Genentech, Inc. and mid-teens to Biogen" per Spectrum's 3Q16</t>
  </si>
  <si>
    <t>Talon Therapeutics</t>
  </si>
  <si>
    <t>$5M on approval for Menadione</t>
  </si>
  <si>
    <t>7/2011</t>
  </si>
  <si>
    <t>Vicept Therapeutics</t>
  </si>
  <si>
    <t>$200M in agg milestones</t>
  </si>
  <si>
    <t>SkinMedica</t>
  </si>
  <si>
    <t>Dermatologic, Other/Miscellaneous</t>
  </si>
  <si>
    <t>11/2006</t>
  </si>
  <si>
    <t>Cabrellis</t>
  </si>
  <si>
    <t>Celgene, Pharmion</t>
  </si>
  <si>
    <t>Trius Therapeutics</t>
  </si>
  <si>
    <t>Merck, Cubist</t>
  </si>
  <si>
    <t>$13.50/sh ($704.4M upfront cash, per Cubist's 2013 10-K) | $1-2/CVR ($108.4M in potential CVR sales milestones, per Cubist's 2013 10-K)</t>
  </si>
  <si>
    <t>$30/sh | $6/sh</t>
  </si>
  <si>
    <t>8/2010</t>
  </si>
  <si>
    <t>ZyStor Therapeutics</t>
  </si>
  <si>
    <t>BioMarin</t>
  </si>
  <si>
    <t>Discovery</t>
  </si>
  <si>
    <t>CGI Pharmaceuticals</t>
  </si>
  <si>
    <t>$29M in dev/reg milestones, per Gilead's 2010 10-K</t>
  </si>
  <si>
    <t>Ceregene</t>
  </si>
  <si>
    <t>Sangamo Therapeutics</t>
  </si>
  <si>
    <t>Acquisition for shares &amp; CVR</t>
  </si>
  <si>
    <t>low double-digit royalties as earn-out, per Sangamo's 2013 10-K</t>
  </si>
  <si>
    <t>Device, Oligonucleotides</t>
  </si>
  <si>
    <t>BioVex</t>
  </si>
  <si>
    <t>Amgen</t>
  </si>
  <si>
    <t>$575M in agg milestones</t>
  </si>
  <si>
    <t>Vaccines</t>
  </si>
  <si>
    <t>Teva</t>
  </si>
  <si>
    <t>Acquisition of 31 previously marketed generic drug products in US</t>
  </si>
  <si>
    <t>Merck</t>
  </si>
  <si>
    <t>Actavis, Forest Laboratories</t>
  </si>
  <si>
    <t>Saphris (asenapine) sublingual tablets for schizophrenia and bipolar mania in the US</t>
  </si>
  <si>
    <t>$76M to reimb post-marketing trials, per Forest's 2013 10-K | $CON in sales milestones</t>
  </si>
  <si>
    <t>Psychiatric</t>
  </si>
  <si>
    <t>Rempex Pharmaceuticals</t>
  </si>
  <si>
    <t>The Medicines Company</t>
  </si>
  <si>
    <t>$120M in comm'l milestones, per 12/4/13 PR | $214M in dev &amp; reg milestones, per 12/4/13 PR</t>
  </si>
  <si>
    <t>12/2010</t>
  </si>
  <si>
    <t>Arresto Biosciences</t>
  </si>
  <si>
    <t>CON sales milestones</t>
  </si>
  <si>
    <t>Cancer, Respiratory</t>
  </si>
  <si>
    <t>Trubion</t>
  </si>
  <si>
    <t>Emergent BioSolutions</t>
  </si>
  <si>
    <t>$1.365/sh &amp; 0.1641shares of Emergent/sh | $38.7M in CVR payments based on clinical milestones in Wyeth &amp; Facet alliances</t>
  </si>
  <si>
    <t>10/2008</t>
  </si>
  <si>
    <t>Avalon Pharmaceuticals</t>
  </si>
  <si>
    <t>Clinical Data</t>
  </si>
  <si>
    <t>Diagnostic</t>
  </si>
  <si>
    <t>5/2004</t>
  </si>
  <si>
    <t>ViroLogic, Aclara BioSciences</t>
  </si>
  <si>
    <t>LabCorp, Monogram Biosciences</t>
  </si>
  <si>
    <t>All-stock merger transaction</t>
  </si>
  <si>
    <t>Cancer, Infectious-Bacterial, Infectious-Viral</t>
  </si>
  <si>
    <t>Diagnostics</t>
  </si>
  <si>
    <t>12/2012</t>
  </si>
  <si>
    <t>Incline Therapeutics</t>
  </si>
  <si>
    <t>$60M, per 12/14 am | $131M,  per 12/14 am | $5M on Japan partnership, per 12/14 am</t>
  </si>
  <si>
    <t>5/2012</t>
  </si>
  <si>
    <t>EKR Therapeutics</t>
  </si>
  <si>
    <t>Chiesi Farmaceutici, Cornerstone Therapeutics</t>
  </si>
  <si>
    <t>25% of Net Sales, but not to exceed $25M inclusive of Relaunch milestones</t>
  </si>
  <si>
    <t>12/2006</t>
  </si>
  <si>
    <t>St. Francis Medical Technologies</t>
  </si>
  <si>
    <t>Medtronic, Kyphon</t>
  </si>
  <si>
    <t>Watson Pharmaceuticals</t>
  </si>
  <si>
    <t>Allergan, Actavis</t>
  </si>
  <si>
    <t>EUR 4.25B | EUR 250M</t>
  </si>
  <si>
    <t>10/2011</t>
  </si>
  <si>
    <t>Adolor</t>
  </si>
  <si>
    <t>$4.25/sh | $2.75/sh for sales milestones if approvals not met | $4.50/sh for ADL5945 approvals</t>
  </si>
  <si>
    <t>9/2006</t>
  </si>
  <si>
    <t>Avidia</t>
  </si>
  <si>
    <t>Cancer, Gastrointestinal, Respiratory</t>
  </si>
  <si>
    <t>1/2009</t>
  </si>
  <si>
    <t>Indevus</t>
  </si>
  <si>
    <t>$4.50/sh | $89M ($1/CVR) if no-label approval for Nebido | $89M ($1/CVR) for approval of Oceotide, plus $178M ($2/CVR) for Nebido label approval ($1/CVR if no-label approval)</t>
  </si>
  <si>
    <t>Abraxis BioScience</t>
  </si>
  <si>
    <t>Acquisition for cash &amp; shares</t>
  </si>
  <si>
    <t>2.5-10% royalty on sales &gt; $1B/yr  | $58.00 in cash and 0.2617 shares of Celgene common | $650M for add'l Abraxane indication approvals</t>
  </si>
  <si>
    <t>11/2009</t>
  </si>
  <si>
    <t>Enzon</t>
  </si>
  <si>
    <t>Leadiant Biosciences</t>
  </si>
  <si>
    <t>Acquisition of speciality pharmaceuticals business (Oncaspar, Adagen, DepoCyt and Abelcet) for cash</t>
  </si>
  <si>
    <t>5-10% royalty above Baseline thru 2014</t>
  </si>
  <si>
    <t>Other/Miscellaneous</t>
  </si>
  <si>
    <t>Drug Delivery, Recombinant DNA, Synthetics</t>
  </si>
  <si>
    <t>4/2011</t>
  </si>
  <si>
    <t>NovaMed</t>
  </si>
  <si>
    <t>SciClone Pharmaceuticals</t>
  </si>
  <si>
    <t>Cancer, Cardiovascular, Central Nervous System, Genitourinary/Gynecologic</t>
  </si>
  <si>
    <t>Actient</t>
  </si>
  <si>
    <t>Endo International, Auxilium</t>
  </si>
  <si>
    <t>Endocrinological &amp; Metabolic, Genitourinary/Gynecologic</t>
  </si>
  <si>
    <t>EUSA Pharma</t>
  </si>
  <si>
    <t>Jazz Pharmaceuticals</t>
  </si>
  <si>
    <t>$650M</t>
  </si>
  <si>
    <t>Recombinant DNA, Synthetics</t>
  </si>
  <si>
    <t>3/2007</t>
  </si>
  <si>
    <t>VIVUS</t>
  </si>
  <si>
    <t>Lumara Health</t>
  </si>
  <si>
    <t>EvaMist metered dose transdermal estradiol spray for menopausal symptoms</t>
  </si>
  <si>
    <t>Optimer</t>
  </si>
  <si>
    <t>$10.75/sh ($550.5M upfront cash, per Cubist's 2013 10-K) | $5/sh ($253.9M in potential CVR sales milestones, per Cubist's 2013 10-K)</t>
  </si>
  <si>
    <t>Genzyme</t>
  </si>
  <si>
    <t>$74/share for 272.5M shares | $12/CVR in sales milestones for alemutuzumab | $272.5M for appoval of alemtuzumab for MS by 3/14 &amp; $272.5M for Production milestones</t>
  </si>
  <si>
    <t>10/2007</t>
  </si>
  <si>
    <t>Align Pharmaceuticals</t>
  </si>
  <si>
    <t>Cyclacel Pharmaceuticals</t>
  </si>
  <si>
    <t>Xclair and Numoisyn for treatment post-chemotherapy</t>
  </si>
  <si>
    <t>3/2012</t>
  </si>
  <si>
    <t>8/2006</t>
  </si>
  <si>
    <t>Aradigm</t>
  </si>
  <si>
    <t>Sale of Intraject needle-free delivery technology</t>
  </si>
  <si>
    <t>Unlimited</t>
  </si>
  <si>
    <t>BioVectra</t>
  </si>
  <si>
    <t>Mallinckrodt, Questcor Pharmaceuticals</t>
  </si>
  <si>
    <t>Acquisition of contract manufacturer for cash</t>
  </si>
  <si>
    <t>Cdn$50M in agg earnings milestones, per Questcor's 2013 10-K</t>
  </si>
  <si>
    <t>2/2013</t>
  </si>
  <si>
    <t>Verinata Health</t>
  </si>
  <si>
    <t>Illumina</t>
  </si>
  <si>
    <t>$100M in agg milestones, per Illumina's 2013 10-K</t>
  </si>
  <si>
    <t>Genitourinary/Gynecologic, Other/Miscellaneous</t>
  </si>
  <si>
    <t>Neurimmune</t>
  </si>
  <si>
    <t>Biogen</t>
  </si>
  <si>
    <t>Acquisition of Panima subsidiary</t>
  </si>
  <si>
    <t>$32.5M per 12/20/10 PR | $395M in agg milestones, per12/20/10 PR</t>
  </si>
  <si>
    <t>8/2012</t>
  </si>
  <si>
    <t>Bristol-Myers Squibb</t>
  </si>
  <si>
    <t>Synergy Pharmaceuticals</t>
  </si>
  <si>
    <t>FV-100 bicyclic nucleoside analogue for shingles</t>
  </si>
  <si>
    <t>Amira Pharmaceuticals</t>
  </si>
  <si>
    <t>$150M in agg milestones</t>
  </si>
  <si>
    <t>Autoimmune/Inflammatory, Central Nervous System</t>
  </si>
  <si>
    <t>Zacharon Pharmaceuticals</t>
  </si>
  <si>
    <t>$10M per 1/7/13 PR | $134M in agg milestones, per BioMarin's 2013 10-K</t>
  </si>
  <si>
    <t>Inviragen</t>
  </si>
  <si>
    <t>$215M in agg milestones</t>
  </si>
  <si>
    <t>URL Pharma</t>
  </si>
  <si>
    <t>plus CON performance milestones</t>
  </si>
  <si>
    <t>9/2014</t>
  </si>
  <si>
    <t>Ambit Biosciences</t>
  </si>
  <si>
    <t>$4.50/CVR for both Front Line and Second Line approvals | $15/sh</t>
  </si>
  <si>
    <t>AMAG Pharmaceuticals</t>
  </si>
  <si>
    <t>$600M cash and $75M eq</t>
  </si>
  <si>
    <t>Genitourinary/Gynecologic</t>
  </si>
  <si>
    <t>Merck, Sirna Therapeutics</t>
  </si>
  <si>
    <t>Alnylam</t>
  </si>
  <si>
    <t>Acquisition for cash and equity</t>
  </si>
  <si>
    <t>$65M in sales milestones, per Alnylam's 2014 10-K | $174M in equity, per Alnylam's 2014 10-K | " low single-digit royalties for our products and single-digit royalties for Sirna products" per Alnylam's 2014 10-K | $50M in dev &amp; reg milestones, per Alnylam's 2014 10-K</t>
  </si>
  <si>
    <t>Oligonucleotides</t>
  </si>
  <si>
    <t>6/2014</t>
  </si>
  <si>
    <t>Precision Genome Engineering</t>
  </si>
  <si>
    <t>bluebird bio</t>
  </si>
  <si>
    <t>7/2012</t>
  </si>
  <si>
    <t>One Lambda</t>
  </si>
  <si>
    <t>Thermo Fisher Scientific</t>
  </si>
  <si>
    <t>$25M earnout</t>
  </si>
  <si>
    <t>Transplantation</t>
  </si>
  <si>
    <t>5/2014</t>
  </si>
  <si>
    <t>Chelsea Therapeutics</t>
  </si>
  <si>
    <t>Lundbeck A/S</t>
  </si>
  <si>
    <t>Acquisition for cash plus CVRs</t>
  </si>
  <si>
    <t>$6.44/sh | $1.50/CVR</t>
  </si>
  <si>
    <t>Ethical Oncology Science</t>
  </si>
  <si>
    <t>Clovis Oncology</t>
  </si>
  <si>
    <t>Acquisition for cash and stock</t>
  </si>
  <si>
    <t>EUR 55M ($76M in sales milestones, per Clovis' 2013 10-K) | $65M for US &amp; EUR 60M for ROW approvals ($148M per Clovis' 2013 10-K) | $10M cash plus $190M in Clovis shares @ $51.16/sh</t>
  </si>
  <si>
    <t>10/2014</t>
  </si>
  <si>
    <t>Durata Therapeutics</t>
  </si>
  <si>
    <t>Actavis</t>
  </si>
  <si>
    <t>$23/sh | $3/CVR | $2/CVR</t>
  </si>
  <si>
    <t>Peptides</t>
  </si>
  <si>
    <t>Proteolix</t>
  </si>
  <si>
    <t>Amgen, Onyx Pharmaceuticals</t>
  </si>
  <si>
    <t>$275M for relapsed/refractory MM | $300M for relapsed MM</t>
  </si>
  <si>
    <t>Mpex Pharmaceuticals</t>
  </si>
  <si>
    <t>Forest Laboratories, Actavis, Aptalis Pharma</t>
  </si>
  <si>
    <t>Acq of Aeroquin (aerosol formulation of levofloxacin) for treatment of CF infections</t>
  </si>
  <si>
    <t>$62.5M in upfront and time-based payments, per Aptalis' 2011 10-K | $195M in agg milestones, per Aptalis' 2011 10-K</t>
  </si>
  <si>
    <t>Infectious-Bacterial, Respiratory</t>
  </si>
  <si>
    <t>12/2014</t>
  </si>
  <si>
    <t>OncoEthix</t>
  </si>
  <si>
    <t>11/2014</t>
  </si>
  <si>
    <t>CorQuest Medical</t>
  </si>
  <si>
    <t>Cardio3 BioSciences</t>
  </si>
  <si>
    <t>2-4% royalty, per Celyad's 2017 20-F</t>
  </si>
  <si>
    <t>FerroKin BioSciences</t>
  </si>
  <si>
    <t>Takeda, Shire</t>
  </si>
  <si>
    <t>Prosensa</t>
  </si>
  <si>
    <t>$4.14/CVR</t>
  </si>
  <si>
    <t>2/2015</t>
  </si>
  <si>
    <t>Flexus Biosciences</t>
  </si>
  <si>
    <t>$800M per 2/23/15 PR</t>
  </si>
  <si>
    <t>Brabant Pharma</t>
  </si>
  <si>
    <t>$45M, per Zogenix' 2016 10-K | $50M, per Zogenix' 2016 10-K</t>
  </si>
  <si>
    <t>3/2013</t>
  </si>
  <si>
    <t>SARcode Bioscience</t>
  </si>
  <si>
    <t>Acquisition for $160M upfront plus milestones</t>
  </si>
  <si>
    <t>$160M per 3/25/13 | plus CON agg milestones</t>
  </si>
  <si>
    <t>California Stem Cell</t>
  </si>
  <si>
    <t>Caladrius Biosciences</t>
  </si>
  <si>
    <t>35% of Net Profits, up to $50M cap | 5.33M shares</t>
  </si>
  <si>
    <t>Research Institution</t>
  </si>
  <si>
    <t>Cell Therapy - Stem Cells/Factors</t>
  </si>
  <si>
    <t>Osiris Therapeutics</t>
  </si>
  <si>
    <t>Mesoblast</t>
  </si>
  <si>
    <t>Acquisition of Osiris' mesenchymal stem cell business for cash &amp; stock</t>
  </si>
  <si>
    <t>Gastrointestinal, Transplantation</t>
  </si>
  <si>
    <t>Hy BioPharma</t>
  </si>
  <si>
    <t>Soligenix</t>
  </si>
  <si>
    <t>Acquisition of SGX301 (synthetic hypericin) Hsp90 inhibitor for lymphoma</t>
  </si>
  <si>
    <t>$275K, per Soligenix' 3Q19 | 185K shares w/ FMV of $3.75M, per Soligenix' 3Q19 | $10M in agg milestones, per Soligenix' 3Q19</t>
  </si>
  <si>
    <t>Drug Delivery, Phototherapy</t>
  </si>
  <si>
    <t>3/2014</t>
  </si>
  <si>
    <t>Galapagos NV</t>
  </si>
  <si>
    <t>Charles River Laboratories</t>
  </si>
  <si>
    <t>Acquistion of the CRO Services Division of Galapagos (including Argenta and BioFocus) for cash</t>
  </si>
  <si>
    <t>EUR 129M | EUR 5M if 15% growth in revenues</t>
  </si>
  <si>
    <t>12/2007</t>
  </si>
  <si>
    <t>Illumigen Biosciences</t>
  </si>
  <si>
    <t>Cubist</t>
  </si>
  <si>
    <t>$115.5M plus $35M for HCV formulations | $81M for Non-HCV</t>
  </si>
  <si>
    <t>3/2015</t>
  </si>
  <si>
    <t>Pernix Therapeutics</t>
  </si>
  <si>
    <t>Acquisition of Zohydro ER franchise</t>
  </si>
  <si>
    <t>$80M, per Zogenix' 2017 10-K | $271M in sales milestones, per Zogenix' 2017 10-K | $12.5M on NDA approval</t>
  </si>
  <si>
    <t>Acquisition of American Medical Systems urology portfolio for cash</t>
  </si>
  <si>
    <t>6/2015</t>
  </si>
  <si>
    <t>Spinifex Pharmaceuticals</t>
  </si>
  <si>
    <t>$200M per 6/29/15 PR</t>
  </si>
  <si>
    <t>7/2015</t>
  </si>
  <si>
    <t>Naurex</t>
  </si>
  <si>
    <t>Allergan</t>
  </si>
  <si>
    <t>$460M payable upon closing and $100M payable by 1/2016 | $1.15B in agg milestones, per Allergan's 9Q15</t>
  </si>
  <si>
    <t>Sanofi, Genzyme</t>
  </si>
  <si>
    <t>Acquisition of Caprelsa (vandetanib) for aggressive and symptomatic medullary thyroid carcinoma</t>
  </si>
  <si>
    <t>$165M per 7/27/15 PR | $135M in agg milestones</t>
  </si>
  <si>
    <t>cCAM Biotherapeutics</t>
  </si>
  <si>
    <t>$95M per 7/28/15 PR | $510M in agg milestones</t>
  </si>
  <si>
    <t>8/2015</t>
  </si>
  <si>
    <t>GeneWEAVE</t>
  </si>
  <si>
    <t>Roche</t>
  </si>
  <si>
    <t>$190M per 8/13/15 PR | $235M in agg milestones</t>
  </si>
  <si>
    <t>Sprout Pharmaceuticals</t>
  </si>
  <si>
    <t>Bausch Health</t>
  </si>
  <si>
    <t>Add'l $500M in agg milestones</t>
  </si>
  <si>
    <t>Dara Biosciences</t>
  </si>
  <si>
    <t>Midatech</t>
  </si>
  <si>
    <t>Acquisition for shares plus CVR</t>
  </si>
  <si>
    <t>Araxes Pharma</t>
  </si>
  <si>
    <t>Kura Oncology</t>
  </si>
  <si>
    <t>KO-947 and related oncology IP</t>
  </si>
  <si>
    <t>1/2015</t>
  </si>
  <si>
    <t>Asklepion Pharmaceuticals</t>
  </si>
  <si>
    <t>Retrophin</t>
  </si>
  <si>
    <t>Cholban (cholic acid) for bile acid synthesis defects</t>
  </si>
  <si>
    <t>$73M in agg milestones</t>
  </si>
  <si>
    <t>Proximagen</t>
  </si>
  <si>
    <t>Upsher-Smith Laboratories</t>
  </si>
  <si>
    <t>Cerexa</t>
  </si>
  <si>
    <t>11/2015</t>
  </si>
  <si>
    <t>Cardioxyl Pharmaceuticals</t>
  </si>
  <si>
    <t>$300M in upfront and near-term milestones, additional development, regulatory and sales milestones totaling  $1.775 billion</t>
  </si>
  <si>
    <t>Scioderm</t>
  </si>
  <si>
    <t>lesser of $100M or 50% of PRV proceeds</t>
  </si>
  <si>
    <t>9/2015</t>
  </si>
  <si>
    <t>Acquisition of NDAs for purified corticotropin gel and corticotropin zinc hydroxide for cash</t>
  </si>
  <si>
    <t>Dyax</t>
  </si>
  <si>
    <t>Acquisition for $37.30/sh in cash plus CVR</t>
  </si>
  <si>
    <t>$646M in CVR, payable on approval of DX-2930 | $37.30/sh</t>
  </si>
  <si>
    <t>Autoimmune/Inflammatory, Hematologic, Ophthalmic, Other/Miscellaneous</t>
  </si>
  <si>
    <t>Synergetics</t>
  </si>
  <si>
    <t>Acquisition for $6.50/sh in cash plus CVR</t>
  </si>
  <si>
    <t>$6.50/share for 25.3M shares | $1/CVR</t>
  </si>
  <si>
    <t>Central Nervous System, Ophthalmic</t>
  </si>
  <si>
    <t>12/2015</t>
  </si>
  <si>
    <t>Acerta Pharma</t>
  </si>
  <si>
    <t>Acquisition of 55% equity stake with option to acquire remaining stake</t>
  </si>
  <si>
    <t>$1.5 billion upon approval of acalabrutinib for any indication in the US, or the end of 2018, whichever comes first | $3B for remaining 45%</t>
  </si>
  <si>
    <t>1/2016</t>
  </si>
  <si>
    <t>IOmet Pharma</t>
  </si>
  <si>
    <t>$150M, per Merck's 3Q16 | $250M, per Merck's 3Q16</t>
  </si>
  <si>
    <t>Genetrix, Coretherapix</t>
  </si>
  <si>
    <t>Takeda, TiGenix</t>
  </si>
  <si>
    <t>225M Euros | 6-16% royalty | 35M Euros | 25M Euros for 2nd Product</t>
  </si>
  <si>
    <t>Top Pharma, 2013-19 IPOs</t>
  </si>
  <si>
    <t>PharmaSwiss</t>
  </si>
  <si>
    <t>Bausch Health, Biovail</t>
  </si>
  <si>
    <t>350M Euros | 30M Euros</t>
  </si>
  <si>
    <t>3/2016</t>
  </si>
  <si>
    <t>Padlock Therapeutics</t>
  </si>
  <si>
    <t>$225M in upfront and near-term milestone payments</t>
  </si>
  <si>
    <t>NorMedix</t>
  </si>
  <si>
    <t>SurModics</t>
  </si>
  <si>
    <t>5/2016</t>
  </si>
  <si>
    <t>PTS Diagnostics</t>
  </si>
  <si>
    <t>Sinocare</t>
  </si>
  <si>
    <t>$200M in cash including contingent considerations of up to $90M in undisclosed milestones</t>
  </si>
  <si>
    <t>2/2016</t>
  </si>
  <si>
    <t>Alexza Pharmaceuticals</t>
  </si>
  <si>
    <t>Ferrer</t>
  </si>
  <si>
    <t>Acquisition for $.90/sh in cash plus CVR</t>
  </si>
  <si>
    <t>$35M in CVR payments for development &amp; sales milestones</t>
  </si>
  <si>
    <t>Uteron Pharma</t>
  </si>
  <si>
    <t>$155M in agg milestones</t>
  </si>
  <si>
    <t>Diagnostics, Drug Delivery, Synthetics</t>
  </si>
  <si>
    <t>6/2016</t>
  </si>
  <si>
    <t>Afferent Pharmaceuticals</t>
  </si>
  <si>
    <t>$750M in clinical and commercial milestones</t>
  </si>
  <si>
    <t>Cardiovascular, Central Nervous System, Respiratory</t>
  </si>
  <si>
    <t>Parivid</t>
  </si>
  <si>
    <t>Momenta Pharmaceuticals</t>
  </si>
  <si>
    <t>Generic enoxaparin as anticoagulant</t>
  </si>
  <si>
    <t>Metrics</t>
  </si>
  <si>
    <t>Mayne Pharma</t>
  </si>
  <si>
    <t>PDL BioPharma, Noden Pharma</t>
  </si>
  <si>
    <t>Tekturna (aliskiren) and Tekturna HCT (aliskiren and hydrochlorothiazide) for hypertension</t>
  </si>
  <si>
    <t>$110M on signing plus $89M on 1st anniv</t>
  </si>
  <si>
    <t>L-UDCA (iquid formulation of ursodeoxycholic acid) for primary biliary cholangitis</t>
  </si>
  <si>
    <t>$23.5M based on cumulative sales milestones of liquid ursodeoxycholic acid in PBC | Up to $35M in development and commercialization milestones for additional indications</t>
  </si>
  <si>
    <t>9/2013</t>
  </si>
  <si>
    <t>GlaxoSmithKline</t>
  </si>
  <si>
    <t>Aspen Pharma</t>
  </si>
  <si>
    <t>Acquisition of Arixtra and Fraxiparine/Fraxodi brands and production site in France</t>
  </si>
  <si>
    <t>£180 million (US$240M) Plus £600 million for manufacturing business | Up to £100 million (US$133M) in milestones</t>
  </si>
  <si>
    <t>9/2016</t>
  </si>
  <si>
    <t>10/2016</t>
  </si>
  <si>
    <t>Immunetics</t>
  </si>
  <si>
    <t>Oxford Immunotec Global</t>
  </si>
  <si>
    <t>Viventia</t>
  </si>
  <si>
    <t>Sesen Bio</t>
  </si>
  <si>
    <t>4M Eleven shares</t>
  </si>
  <si>
    <t>Tobira Therapeutics</t>
  </si>
  <si>
    <t>Acquisition for cash and CVRs</t>
  </si>
  <si>
    <t>$28.35/sh in cash for 18.94M shares | $18.07/sh CVR for $1B in annual sales | $31.77/sh in CVR for Ph III, submission and US approval of cenicriviroc</t>
  </si>
  <si>
    <t>Liver &amp; Gallbladder Diseases</t>
  </si>
  <si>
    <t>11/2016</t>
  </si>
  <si>
    <t>Kolltan Pharmaceuticals</t>
  </si>
  <si>
    <t>Celldex</t>
  </si>
  <si>
    <t>Acquisition in stock-for-stock transaction</t>
  </si>
  <si>
    <t>Equity value of approximately $62.5M upfront | $140M in development &amp; regulatory milestones | $10M for add'l partnership</t>
  </si>
  <si>
    <t>8/2016</t>
  </si>
  <si>
    <t>Macrocure</t>
  </si>
  <si>
    <t>Leap Therapeutics</t>
  </si>
  <si>
    <t>3,257K Leap shares @ $9.90/sh, per Leap's 3Q17 | 2% royalty, per CVR agmt</t>
  </si>
  <si>
    <t>TetraLogic Pharmaceuticals</t>
  </si>
  <si>
    <t>Medivir</t>
  </si>
  <si>
    <t>Remetinostat for lymphoma and birinapant for solid tumors</t>
  </si>
  <si>
    <t>$21 for Remetinostat and $100M for birinapant | 5-10% earn-out royalty for birinapant | $7M for SHP-141 (Remetinostat) | $25M for birinapant</t>
  </si>
  <si>
    <t>9/2012</t>
  </si>
  <si>
    <t>Selexys Pharmaceuticals</t>
  </si>
  <si>
    <t>SEG101 (crizanlizumab, SelG1 humanized P-selectiin Ab) for pain crises in sickle cell disease</t>
  </si>
  <si>
    <t>$268M FMV at time of 11/16 acq, per Novartis'2016 20-F | $665M in agg potential compensation</t>
  </si>
  <si>
    <t>9/2011</t>
  </si>
  <si>
    <t>Opko Health</t>
  </si>
  <si>
    <t>Nikon, Optos</t>
  </si>
  <si>
    <t>Spectral OCT SLO etinal scanning device</t>
  </si>
  <si>
    <t>12/2016</t>
  </si>
  <si>
    <t>Ziarco</t>
  </si>
  <si>
    <t>$325M per Novartis' 2018 20-F | $95M per Novartis' 2018 20-F</t>
  </si>
  <si>
    <t>1/2017</t>
  </si>
  <si>
    <t>Delinia</t>
  </si>
  <si>
    <t>$475M in development, regulatory and commercial milestones</t>
  </si>
  <si>
    <t>Navidea Biopharmaceuticals</t>
  </si>
  <si>
    <t>Cardinal Health</t>
  </si>
  <si>
    <t>Lymphoseek radioimaging diagnostic for solid tumors in NAFTA</t>
  </si>
  <si>
    <t>10M warrant shares @ $1.50/sh | 8% royalty, subject to $160M cap</t>
  </si>
  <si>
    <t>Achieve Life Science</t>
  </si>
  <si>
    <t>OncoGenex Pharmaceuticals</t>
  </si>
  <si>
    <t>Reverse merger for stock &amp; CVR</t>
  </si>
  <si>
    <t>$12.6M of combined shares issued to OncoGenex' shareholders, per Achieve's 9Q18 | CVR of 80% of value realized from disposition of apatorsen, but program terminated in 8/17,  per Achieve's 9Q18</t>
  </si>
  <si>
    <t>Cancer, Psychiatric</t>
  </si>
  <si>
    <t>Oligonucleotides, Synthetics</t>
  </si>
  <si>
    <t>3/2017</t>
  </si>
  <si>
    <t>Concert Pharmaceuticals</t>
  </si>
  <si>
    <t>Vertex</t>
  </si>
  <si>
    <t>CTP-656 (deuterated ivacaftor CFTR modulator) for cystic fibrosis</t>
  </si>
  <si>
    <t>CSL Limited, ZLB Behring</t>
  </si>
  <si>
    <t>Cytogam immunoglobulin CMV therapy for cash</t>
  </si>
  <si>
    <t>Essentialis</t>
  </si>
  <si>
    <t>Soleno Therapeutics</t>
  </si>
  <si>
    <t>Acq of rare disease developer for Prader­Willi syndrome</t>
  </si>
  <si>
    <t>22M Total Merger Shares, of which 80% paid at closing &amp; balance based on dev milestone  | 20% of Total Merger Shares as development Milestone Shares | 4.8M Soleno shares issued @ $3.85/sh FMV per Soleno's 2018 10-K</t>
  </si>
  <si>
    <t>10/2015</t>
  </si>
  <si>
    <t>Telormedix</t>
  </si>
  <si>
    <t>UroGen Pharma</t>
  </si>
  <si>
    <t>Vesimune (TMX-101) for local treatment of bladder cancer</t>
  </si>
  <si>
    <t>SynthRx</t>
  </si>
  <si>
    <t>Savara Pharmaceuticals, AdventRx</t>
  </si>
  <si>
    <t>6/2017</t>
  </si>
  <si>
    <t>Altor BioScience</t>
  </si>
  <si>
    <t>NantWorks, NantCell</t>
  </si>
  <si>
    <t>$2.00/Altor share (payable in cash and/or NantCell common stock at the election of each Altor BioScience stockholder) | Two Contingent Value Rights valued at up to $4.00/sh s (payable in cash and/or NantCell common stock at the election of each Altor BioScience stockholder) upon achievement of a regulatory milestone and a sales milestone.</t>
  </si>
  <si>
    <t>4/2017</t>
  </si>
  <si>
    <t>1st Order Pharmaceuticals</t>
  </si>
  <si>
    <t>Xenon Pharmaceuticals</t>
  </si>
  <si>
    <t>XEN1101 potassium channel modulator for epilepsy</t>
  </si>
  <si>
    <t>$350K, per Xenon's 6Q17 | $33.6M, per Xenon's 6Q17 | Mid-to-high single digit royalty, per Xenon's 6Q17 | $14.7M, per Xenon's 6Q17</t>
  </si>
  <si>
    <t>Rigontec</t>
  </si>
  <si>
    <t xml:space="preserve"> €115 million (US$137M) | Up to €349 million (US$416M) in clinical, development, regulatory and commercial milestones</t>
  </si>
  <si>
    <t>8/2007</t>
  </si>
  <si>
    <t>Akorn, Bausch Health, ECR Pharmaceuticals</t>
  </si>
  <si>
    <t>Cephalon, Teva, Anesta</t>
  </si>
  <si>
    <t>Amrix (ER cyclobenzaprine)  for muscle spasm pain in NAFTA</t>
  </si>
  <si>
    <t>Acquisition of global Vaccines business (excluding influenza vaccines)</t>
  </si>
  <si>
    <t>10% US royalty &amp; CON ex-US royalty</t>
  </si>
  <si>
    <t>Infectious-Bacterial, Infectious-Miscellaneous, Infectious-Viral</t>
  </si>
  <si>
    <t>Innocoll AG</t>
  </si>
  <si>
    <t>Gurnet Point</t>
  </si>
  <si>
    <t>Acq. for $1.75/sh in cash plus $4.90 in CVR</t>
  </si>
  <si>
    <t>$1.75/sh | $59M (1.87/sh) for $60M annual sales |  $64M ($2.03/sh) first label |  $31M ($1/sh) 2nd label</t>
  </si>
  <si>
    <t>10/2017</t>
  </si>
  <si>
    <t>Crystal Bioscience</t>
  </si>
  <si>
    <t>10-20% Share of current licenses</t>
  </si>
  <si>
    <t>11/2017</t>
  </si>
  <si>
    <t>Ocera Therapeutics</t>
  </si>
  <si>
    <t>Mallinckrodt</t>
  </si>
  <si>
    <t>Acquisition for $1.52/sh in cash plus CVR</t>
  </si>
  <si>
    <t xml:space="preserve"> $1.52/share (US$42M) | $10M on IV Phase III commencement | $15M on oral Phase III commencement | $50M in sales milestone upon $500M in cumulative Product sales</t>
  </si>
  <si>
    <t>Liver &amp; Gallbladder Diseases, Psychiatric</t>
  </si>
  <si>
    <t>8/2017</t>
  </si>
  <si>
    <t>Confluence Life Sciences</t>
  </si>
  <si>
    <t>Aclaris Therapeutics</t>
  </si>
  <si>
    <t>Low single-digit royalties | $80M in development, regulatory and commercial milestones</t>
  </si>
  <si>
    <t>12/2017</t>
  </si>
  <si>
    <t>Cell Design Labs</t>
  </si>
  <si>
    <t>Gilead, Kite Pharma</t>
  </si>
  <si>
    <t>$150M, net of CDI's cash, per Gilead's 2017 10-K | $322M, per Gilead's 2017 10-K</t>
  </si>
  <si>
    <t>Major Biotech, 2013-19 IPOs</t>
  </si>
  <si>
    <t>8/2019</t>
  </si>
  <si>
    <t>Censa Pharmaceuticals</t>
  </si>
  <si>
    <t>Option to acquire Censa for CNSA-001 to treat phenylketonuria</t>
  </si>
  <si>
    <t>$10M for option, per Retrophin's 3Q18 | $17M funding, per Retrophin's 3Q18 | $5M dev milestone, per Retrophin's 3Q18 | $65M on exercise of acq option (80% in shares), plus $25M in agg post-exercise milestones, per Retrophin's 3Q18</t>
  </si>
  <si>
    <t>1/2018</t>
  </si>
  <si>
    <t>Endocrinological &amp; Metabolic, Other/Miscellaneous</t>
  </si>
  <si>
    <t>Impact Biomedicines</t>
  </si>
  <si>
    <t xml:space="preserve">Maximum of $4.5 billion if global annual net sales exceed $5 billion. | Maximum of $1.4 billion in regulatory milestones for myelofibrosis and other indications. </t>
  </si>
  <si>
    <t>Cytochroma</t>
  </si>
  <si>
    <t>Acquisition for shares and contingent consideration</t>
  </si>
  <si>
    <t>10/2005</t>
  </si>
  <si>
    <t>Synthon</t>
  </si>
  <si>
    <t>Noven Pharmaceuticals</t>
  </si>
  <si>
    <t>Pexeva (paroxetine mesylate) for depression in NA</t>
  </si>
  <si>
    <t>STAT-Dx</t>
  </si>
  <si>
    <t>Qiagen</t>
  </si>
  <si>
    <t>$44M in regulatory and commercial milestones</t>
  </si>
  <si>
    <t>1/2004</t>
  </si>
  <si>
    <t>Viatris</t>
  </si>
  <si>
    <t>Bausch Health, Xcel Pharmaceuticals</t>
  </si>
  <si>
    <t>Retigabine (potassium channel opener) for epilepsy</t>
  </si>
  <si>
    <t>2-7%, depending on region and patent/competition</t>
  </si>
  <si>
    <t>12/2009</t>
  </si>
  <si>
    <t>Calixa Therapeutics</t>
  </si>
  <si>
    <t>$210M in agg dev/reg milestones</t>
  </si>
  <si>
    <t>3/2018</t>
  </si>
  <si>
    <t>Icon Bioscience</t>
  </si>
  <si>
    <t>EyePoint Pharmaceuticals</t>
  </si>
  <si>
    <t>Acquisition for cash and rebranded as EyePoint Pharmaceuticals</t>
  </si>
  <si>
    <t>Roivant Neurosciences, Axovant</t>
  </si>
  <si>
    <t>RVT-101 (SB742457 selective 5-HT6 receptor antagonist) for Alzheimer's</t>
  </si>
  <si>
    <t>4/2018</t>
  </si>
  <si>
    <t>SteadyMed</t>
  </si>
  <si>
    <t>United Therapeutics</t>
  </si>
  <si>
    <t>Acquisition for $4.46/sh in cash plus CVR for $2.63/sh</t>
  </si>
  <si>
    <t>$4.46/share in cash at closing | $75M ($2.63/sh) within 5 yrs of closing if 3000 Initial Patient Visits after FDA approval of Product to treat pulmonary arterial hypertension</t>
  </si>
  <si>
    <t>Device, Synthetics</t>
  </si>
  <si>
    <t>Shire</t>
  </si>
  <si>
    <t>Translate Bio</t>
  </si>
  <si>
    <t>Acquisition of Messenger RNA Platform in exchange for equity stake</t>
  </si>
  <si>
    <t>$60M, per Translate Bio's IPO prospectus | 32.3M common shs with FMV of $41.1M, per Translate Bio's IPO prospectus | $8.5M for 6M  add'l eq shares, per Translate Bio's IPO prospectus | Mid-single percentage royalty, per Translate Bio's IPO prospectus | $10M for non-CF MRT Product approval, per Translate Bio's IPO prospectus</t>
  </si>
  <si>
    <t>Other/Miscellaneous, Respiratory</t>
  </si>
  <si>
    <t>5/2018</t>
  </si>
  <si>
    <t>Myonexus Therapeutics</t>
  </si>
  <si>
    <t>Sarepta Therapeutics</t>
  </si>
  <si>
    <t>Limb-Girdle Muscular Dystrophy gene therapy programs and option to acquire Myonexus</t>
  </si>
  <si>
    <t>$60M for initial option to acquire, per Sarepta's 6Q18 | $165M in acq exercise payments, per Sarepta's 3Q19 | $200M in agg post-acquisition milestones, per Sarepta's 3Q19</t>
  </si>
  <si>
    <t>7/2018</t>
  </si>
  <si>
    <t>Agilis Biotherapeutics</t>
  </si>
  <si>
    <t>PTC Therapeutics</t>
  </si>
  <si>
    <t>$49.2M per PTC's 2018 10-K | $150M per PTC's 2018 10-K | 3.5M share w $150M FMV, per PTC's 2018 10-K | 2-6% royalty, per PTC's 2018 10-K | $595M per PTC's 2018 10-K</t>
  </si>
  <si>
    <t>Central Nervous System, Other/Miscellaneous</t>
  </si>
  <si>
    <t>Apricus Biosciences</t>
  </si>
  <si>
    <t>Seelos Therapeutics</t>
  </si>
  <si>
    <t>90% of Vitaros payments above $500K for 10 yrs (see CVR agmt)</t>
  </si>
  <si>
    <t>QLT</t>
  </si>
  <si>
    <t>Vasudyne (verteporfin for injection) for wet age-related macular degeneration</t>
  </si>
  <si>
    <t>$20M in earn-outs via Novartis royalties and Laser sales | 7% royalty for New Indications</t>
  </si>
  <si>
    <t>Phototherapy</t>
  </si>
  <si>
    <t>11/2018</t>
  </si>
  <si>
    <t>Fortress Biotech, Avenue Therapeutics</t>
  </si>
  <si>
    <t>Cipla, InvaGen Pharmaceuticals</t>
  </si>
  <si>
    <t>Acquisition for cash of IV Tramadol for pain</t>
  </si>
  <si>
    <t>for 33.3% of OS | purchase of remaining 66.7% contingent on FDA approval | 10-20% of Gross Profits on annual sales above $325M (see CVR agmt)</t>
  </si>
  <si>
    <t>8/2018</t>
  </si>
  <si>
    <t>Gilead, YM Biosciences</t>
  </si>
  <si>
    <t>Sierra Oncology</t>
  </si>
  <si>
    <t>Momelotinib JAK 1/2 and ACVR1 inhibitor for myelofibrosis</t>
  </si>
  <si>
    <t>Tiered royalties from mid-teens to high-twenties, per Sierra's 9Q18 | $195M in agg milestones, per Sierra's 9Q18</t>
  </si>
  <si>
    <t>Enlivex Therapeutics</t>
  </si>
  <si>
    <t>Bioblast Pharma</t>
  </si>
  <si>
    <t>Reverse merger agreement</t>
  </si>
  <si>
    <t>4% OS to Bioblast shareholders, with $100M minimum valuation | first $20M of Trehalose transaction, then 50/50 above</t>
  </si>
  <si>
    <t>Cancer, Infectious-Bacterial, Transplantation</t>
  </si>
  <si>
    <t>10/2018</t>
  </si>
  <si>
    <t>Corium International</t>
  </si>
  <si>
    <t>Acquisition for $12.50/sh in cash plus $.50 in CVR</t>
  </si>
  <si>
    <t>$19M on FDA approval of Corplex Donepezil for Alzheimer's by 3/31/20</t>
  </si>
  <si>
    <t>Adapt Pharma</t>
  </si>
  <si>
    <t>Acquisition of neddle-free naloxone for cash and shares</t>
  </si>
  <si>
    <t>$575M cash, per Emergent's 9Q18 | 733.3K shares @ $65.28/sh, per Emergent's 9Q18</t>
  </si>
  <si>
    <t>Central Nervous System, Psychiatric</t>
  </si>
  <si>
    <t>ProFibrix</t>
  </si>
  <si>
    <t>Option to acquire ProFibrix B.V.</t>
  </si>
  <si>
    <t>$10M on option to acquire, plus $90M on exercise of option</t>
  </si>
  <si>
    <t>Drug Delivery, Recombinant DNA</t>
  </si>
  <si>
    <t>8/2008</t>
  </si>
  <si>
    <t>Curacyte Discovery</t>
  </si>
  <si>
    <t>Acquisition for cash of CU-2010 (serine protease inhibitor) for surgical blood loss</t>
  </si>
  <si>
    <t>14.5M Euros | 10.5M Euros</t>
  </si>
  <si>
    <t>Boyce &amp; Bynum Pathology Laboratories</t>
  </si>
  <si>
    <t>Quest Diagnostics</t>
  </si>
  <si>
    <t>Acquisition of clinical laboratory services business</t>
  </si>
  <si>
    <t>$55M per Quest's 2019 10-K | $6M per Quest's 2019 10-K</t>
  </si>
  <si>
    <t>2/2019</t>
  </si>
  <si>
    <t>Service Laboratory</t>
  </si>
  <si>
    <t>Regentys</t>
  </si>
  <si>
    <t>Generex Biotechnology</t>
  </si>
  <si>
    <t>Acquisition of 51% stake</t>
  </si>
  <si>
    <t>1/2019</t>
  </si>
  <si>
    <t>11/2011</t>
  </si>
  <si>
    <t>Mylan</t>
  </si>
  <si>
    <t>Cumberland Pharmaceuticals</t>
  </si>
  <si>
    <t>Kristalose (lactulose crystals) for constipation</t>
  </si>
  <si>
    <t>Acquisition for cash and equity plus CVR</t>
  </si>
  <si>
    <t>$9.00 in cash upon FDA approval of
all three of ozanimod (by December 31, 2020), liso-cel (JCAR017) (by December 31,2020) and bb2121 (by March 31, 2021) | $50 cash &amp; 1 BMS sh per Celgene share ($102.43/sh equiv)</t>
  </si>
  <si>
    <t>Autoimmune/Inflammatory, Cancer, Cardiovascular</t>
  </si>
  <si>
    <t>Clementia Pharmaceuticals</t>
  </si>
  <si>
    <t>Acquisition for $25/sh in cash plus CVR ($6/sh)</t>
  </si>
  <si>
    <t>$25/sh  | $6/CVR if FDA filing by 12/31/24</t>
  </si>
  <si>
    <t>12/2018</t>
  </si>
  <si>
    <t>Perosphere Pharmaceuticals</t>
  </si>
  <si>
    <t>AMAG is assuming $18.2M in debt and liabilities ($12M under a term loan and up to $6.2M of Perosphere’s other liabilities) | $140M including $40M upon EMA approval; total amount to be reduced if ciraparantag is approved with a boxed warning</t>
  </si>
  <si>
    <t>Aurobindo Pharma, Acrotech Biopharma</t>
  </si>
  <si>
    <t>Acquisition of portfolio of seven FDA-approved hematology/oncology products</t>
  </si>
  <si>
    <t>Miramar Labs</t>
  </si>
  <si>
    <t>Sientra</t>
  </si>
  <si>
    <t>Helio Vision</t>
  </si>
  <si>
    <t>Aldeyra Therapeutics</t>
  </si>
  <si>
    <t>Organogenesis</t>
  </si>
  <si>
    <t>Dermagraft (human fibroblast-derived dermal substitute) assets</t>
  </si>
  <si>
    <t>OncoMed Pharmaceuticals</t>
  </si>
  <si>
    <t>Mereo BioPharma</t>
  </si>
  <si>
    <t>Reverse merger for shares</t>
  </si>
  <si>
    <t>$57.4M of Mereo ADRs | 70% of Celgene milestones &amp; 50% of DLL4 or VEGF milestones, up to $80M cap</t>
  </si>
  <si>
    <t>Cianna Medical</t>
  </si>
  <si>
    <t>Merit Medical</t>
  </si>
  <si>
    <t>3/2019</t>
  </si>
  <si>
    <t>MyoScience</t>
  </si>
  <si>
    <t>Pacira Pharmaceuticals</t>
  </si>
  <si>
    <t>$100M in agg milestones per Pacira's 2019 10-K</t>
  </si>
  <si>
    <t>Ellipse Technologies</t>
  </si>
  <si>
    <t>NuVasive</t>
  </si>
  <si>
    <t>5/2011</t>
  </si>
  <si>
    <t>Specifar Pharmaceuticals</t>
  </si>
  <si>
    <t>Actavis, Allergan, Watson Pharmaceuticals</t>
  </si>
  <si>
    <t>EUR 400M | EUR 40M</t>
  </si>
  <si>
    <t>Revogenex</t>
  </si>
  <si>
    <t>IV tramadol HCl for pain</t>
  </si>
  <si>
    <t>GTx</t>
  </si>
  <si>
    <t>Oncternal Therapeutics</t>
  </si>
  <si>
    <t>$29M in FMV of shares, per Octernal's 6Q19 | 50% of Gross Consideration in SARM or SARD Deal | 5-10% royalty</t>
  </si>
  <si>
    <t>Monoclonals, Synthetics</t>
  </si>
  <si>
    <t>Strides Arcolab</t>
  </si>
  <si>
    <t>Agila injectable generics business</t>
  </si>
  <si>
    <t>Dow Pharmaceutical Sciences</t>
  </si>
  <si>
    <t>$120M in sales milestones for 5 add'l products | 90% of IDP-111 royalties rec'd under 3/08 Mylan Contract | $120M in dev/reg milestones for 5 add'l products</t>
  </si>
  <si>
    <t>Onexo</t>
  </si>
  <si>
    <t>Seelos Therapeutics, Apricus Biosciences</t>
  </si>
  <si>
    <t>Totect and Savene (dexrazosane for injection) in North &amp; South America</t>
  </si>
  <si>
    <t>$2M of Apricus common shares | $2M of contingent common shares</t>
  </si>
  <si>
    <t>Natura Naturals Holdings</t>
  </si>
  <si>
    <t>Tilray</t>
  </si>
  <si>
    <t>$26.7M (Cdn$35M) | $26.7M (Cdn$35M) in milestones for cultivation yield | Cdn$70M</t>
  </si>
  <si>
    <t>Natural Product</t>
  </si>
  <si>
    <t>FHF Holdings</t>
  </si>
  <si>
    <t>Cdn$370M | Cdn$49M as milestone for meeting sales goal for 2019</t>
  </si>
  <si>
    <t>Bellwether Bio</t>
  </si>
  <si>
    <t>Guardant Health</t>
  </si>
  <si>
    <t>$10.3M per Guardant's 6Q19 | $10M per Guardant's 6Q19</t>
  </si>
  <si>
    <t>Children's Hospital of Philadelphia</t>
  </si>
  <si>
    <t>neuroFix Therapeutics, Aevi Genomic Medicine</t>
  </si>
  <si>
    <t>NFC-1 nonstimulant metabotropic glutamate receptor (mGluR) neuromodulator</t>
  </si>
  <si>
    <t>$1.6M to NeuoFix shareholders plus $400K to CHOP | $4.8M to NeuoFix shareholders plus $1.2M to CHOP</t>
  </si>
  <si>
    <t>Other/Miscellaneous, Psychiatric</t>
  </si>
  <si>
    <t>Semnur Pharmaceuticals</t>
  </si>
  <si>
    <t>Sorrento Therapeutics, Scintilla Pharmaceuticals</t>
  </si>
  <si>
    <t>Mills Pharmaceuticals</t>
  </si>
  <si>
    <t>Sellas Life Sciences Group, Galena Biopharma</t>
  </si>
  <si>
    <t>Acquisition of GALE-401 (CR anagrelide) for thrombocythemia</t>
  </si>
  <si>
    <t>Nektar Therapeutics, Aerogen</t>
  </si>
  <si>
    <t>Pulmonary drug delivery assets, technology and IP</t>
  </si>
  <si>
    <t>Nektar shall remit sales milestones rec'd under 11/04 Bayer agmt | royalty-free license back to Nektar for use with Existing Agreements</t>
  </si>
  <si>
    <t>Vascular Insights</t>
  </si>
  <si>
    <t>ClariVein catheter infusion systems</t>
  </si>
  <si>
    <t>4/2019</t>
  </si>
  <si>
    <t>Aratana Therapeutics</t>
  </si>
  <si>
    <t>Elanco</t>
  </si>
  <si>
    <t>$0.25/CVR in sales milestone | Elanco shares worth $4.75/Aratana sh</t>
  </si>
  <si>
    <t>Fortress Biotech, Caelum Biosciences</t>
  </si>
  <si>
    <t>Option to acquire Caelum based on Phase II data</t>
  </si>
  <si>
    <t>$30M for 19.9% eq of Caelum, per Fortress' 3Q19 | $150-200M acquisition price, depending on accelerated approval prior to acq, plus $50-75M on FDA approval</t>
  </si>
  <si>
    <t>Debiopharm, GenePOC</t>
  </si>
  <si>
    <t>Meridian Bioscience</t>
  </si>
  <si>
    <t>Acquisition of GenePOC's molecular diagnostics business</t>
  </si>
  <si>
    <t>$50M upfront, per Meridian's 3Q19 | $50M, per Meridian's 3Q19 | $20M in dev/reg milestones, per Meridian's 3Q19</t>
  </si>
  <si>
    <t>5/2019</t>
  </si>
  <si>
    <t>Peloton Therapeutics</t>
  </si>
  <si>
    <t>Acquisition for $1.05 billion in cash plus milestones</t>
  </si>
  <si>
    <t xml:space="preserve">$1.15 billion in regulatory and sales milestones </t>
  </si>
  <si>
    <t>Roivant Sciences, Dermavant Sciences</t>
  </si>
  <si>
    <t>Tapinarof and preclinical back up program for atopic dermatitis and psoriasis ex-China</t>
  </si>
  <si>
    <t xml:space="preserve"> £150 million ($191M) per Dermavant's IPO prospectus | $76M, per Dermavant's IPO prospectus | royalty-free | £100 million ($133M ) upon approval, per Dermavant's IPO prospectus | $61M in add'l dev/reg milestones, per Dermavant's IPO prospectus</t>
  </si>
  <si>
    <t>MabVax Therapeutics</t>
  </si>
  <si>
    <t>Boehringer Ingelheim</t>
  </si>
  <si>
    <t>Glycan fully human antibody program for solid tumors</t>
  </si>
  <si>
    <t>$7M in dev/reg milestones, per MabVax's 2018 S-1</t>
  </si>
  <si>
    <t>Oncotelic</t>
  </si>
  <si>
    <t>Mateon Therapeutics</t>
  </si>
  <si>
    <t>75% of proceed from sale or license of  OXi4503 and CA4P within 4 yrs (see CVR agmt)</t>
  </si>
  <si>
    <t>Vertiflex</t>
  </si>
  <si>
    <t>Additional payments contingent on commercial milestones for the next three years | $100M per Boston Sci's 9Q19</t>
  </si>
  <si>
    <t>6/2019</t>
  </si>
  <si>
    <t>Exonics Therapeutics</t>
  </si>
  <si>
    <t>Acquisition for $245M in cash plus milestones</t>
  </si>
  <si>
    <t>$802M in agg milestones, per Vertex's 6Q19</t>
  </si>
  <si>
    <t>7/2019</t>
  </si>
  <si>
    <t>Gemphire Therapeutics</t>
  </si>
  <si>
    <t>NeuroBo Pharmaceuticals</t>
  </si>
  <si>
    <t>Merger in all-stock transaction to advance neurodegenerative disease company</t>
  </si>
  <si>
    <t>80% of Consideration from a Gemcabene Deal | Gemphire owns 3.7% of combined entity</t>
  </si>
  <si>
    <t>Dose Medical</t>
  </si>
  <si>
    <t>Glaukos</t>
  </si>
  <si>
    <t>5% royalty, but potential buyouts at $30-40M for Protein product or $10-15M for Steroid product</t>
  </si>
  <si>
    <t>Spitfire Pharma</t>
  </si>
  <si>
    <t>Altimmune</t>
  </si>
  <si>
    <t>Acquisition for $5M in shares plus additional milestone payments</t>
  </si>
  <si>
    <t>$5M in Altimmune common stock  | $8M in future regulatory and clinical milestones payable in cash or common stock</t>
  </si>
  <si>
    <t>PointR Data</t>
  </si>
  <si>
    <t>Acquisition for equity</t>
  </si>
  <si>
    <t>PointR receives 23.3% of combined shares | $15M in add'l equity for dev milestones</t>
  </si>
  <si>
    <t>2/2018</t>
  </si>
  <si>
    <t>Viela Bio</t>
  </si>
  <si>
    <t>Spinout of six compounds including inebilizumab for severe autoimmune diseases</t>
  </si>
  <si>
    <t>$119M in agg milestones, per Viela's IPO prospectus</t>
  </si>
  <si>
    <t>New Aera</t>
  </si>
  <si>
    <t>Inogen</t>
  </si>
  <si>
    <t>18.75% of sales above $2M/yr, up to $27.38M cap</t>
  </si>
  <si>
    <t>10/2019</t>
  </si>
  <si>
    <t>Achillion Pharmaceuticals</t>
  </si>
  <si>
    <t>Acquisition for $6.30/sh in cash plus CVR</t>
  </si>
  <si>
    <t>$6.30/sh in cash | $2/share CVR</t>
  </si>
  <si>
    <t>EPI Health</t>
  </si>
  <si>
    <t>Rhofade  (oxymetazoline hydrochloride) cream for rosacea</t>
  </si>
  <si>
    <t>SentreHeart</t>
  </si>
  <si>
    <t>AtriCure</t>
  </si>
  <si>
    <t>Developer of percutaneous left atrial appendage management solutions</t>
  </si>
  <si>
    <t>Cerecor</t>
  </si>
  <si>
    <t>Aytu BioScience</t>
  </si>
  <si>
    <t>Pediatric products for cash and shares</t>
  </si>
  <si>
    <t>$12.5M in Aytu preferred | Aytu assumed Cerecor's 15% royalty obligation to Deerfield, per Cerecor's 9Q19 | Aytu assumed Cerecor's $15M loan obligation to Deerfield, per Cerecor's 9Q19</t>
  </si>
  <si>
    <t>9/2019</t>
  </si>
  <si>
    <t>Dova Pharmaceuticals</t>
  </si>
  <si>
    <t>Swedish Orphan Biovitrum</t>
  </si>
  <si>
    <t>Acquisition for $27.50/sh in cash plus CVR</t>
  </si>
  <si>
    <t xml:space="preserve">$27.50/sh (36% premium) | CVR of $1.50 per share, to be paid upon the regulatory approval of Doptelet (avatrombopag) for the treatment of CIT. </t>
  </si>
  <si>
    <t>6/2009</t>
  </si>
  <si>
    <t>Zalicus, Epirus Biopharmaceuticals, Neuromed Pharmaceuticals</t>
  </si>
  <si>
    <t>Covidien, Mallinckrodt</t>
  </si>
  <si>
    <t>Exalgo (hydromorphone HCl) extended-release tablets in US</t>
  </si>
  <si>
    <t>$5M on NDA filing, plus $30-40M on approval | $16M in max funded development, including $3.64M in reimb dev costs (see Dev Agmt)</t>
  </si>
  <si>
    <t>11/2019</t>
  </si>
  <si>
    <t>Menlo Therapeutics</t>
  </si>
  <si>
    <t>Foamix</t>
  </si>
  <si>
    <t>Merger agreement in stock-for-stock exchange</t>
  </si>
  <si>
    <t>Under the terms of the merger agreement, each share of Foamix stock will be exchanged for 0.5924 of a share
of Menlo common stock and a contingent stock right (“CSR”). The exchange ratio (prior to any adjustment
through the CSR) implies a 18% premium to Menlo shareholders | If one of the Phase III PN trials fails to meet its primary endpoint at or before May 31, 2020, Foamix
shareholders will receive an additional 0.6815 of a share of Menlo common stock for each Foamix share,
increasing pro forma ownership of the combined company by Foamix shareholders to 76%
If both Phase III PN trials fail to meet their primary endpoints at or before May 31, 2020, Foamix
shareholders will receive 1.2082 additional Menlo shares for each Foamix share</t>
  </si>
  <si>
    <t>Pantheon Medical</t>
  </si>
  <si>
    <t>Medisource Partners</t>
  </si>
  <si>
    <t>12/2019</t>
  </si>
  <si>
    <t>NanoString Technologies</t>
  </si>
  <si>
    <t>Veracyte</t>
  </si>
  <si>
    <t>FLEX System assays for breast cancer and lymphoma</t>
  </si>
  <si>
    <t>377K VeraCyte shares , per VeraCyte's 12/3/19 8-K | launch of three add'l diag products,  per VeraCyte's 12/3/19 8-K | royalty-free</t>
  </si>
  <si>
    <t>Modis Therapeutics</t>
  </si>
  <si>
    <t xml:space="preserve"> $100M upon FDA approval, additional $50M upon EMA approval</t>
  </si>
  <si>
    <t>Huxley Pharmaceuticals</t>
  </si>
  <si>
    <t>$3.5M on annual sales of 15M Euros, plus up to 10M Euros for cum sales &gt; 70M Euros within 5 yrs | $6.5M on EU approval of amifampridine phosphate, plus $18.85M for US dev/approval</t>
  </si>
  <si>
    <t>Refine Technology</t>
  </si>
  <si>
    <t>Repligen</t>
  </si>
  <si>
    <t>Asset acquisition of manufacturing filtration device for cash and shares</t>
  </si>
  <si>
    <t>215K Repligen shares | Up to $7.5M in connection with DPx settlement</t>
  </si>
  <si>
    <t>7/2016</t>
  </si>
  <si>
    <t>BioD</t>
  </si>
  <si>
    <t>Integra Lifesciences, Derma Sciences</t>
  </si>
  <si>
    <t>Up to $13.25M each year in 2017 and 2018 |  1.8 million shares of Derma Sciences common stock, valued at $7.5 million based on VWAP price of $4.1692 as of  7/26/16 | Regulatory milestone payments in 2016 and/or 2017 in aggregate up to $30M, payable in up to 35% common stock at Derma Sciences’ discretion</t>
  </si>
  <si>
    <t>Bone Disease, Ophthalmic</t>
  </si>
  <si>
    <t>Meritage Pharma</t>
  </si>
  <si>
    <t>Shire, ViroPharma</t>
  </si>
  <si>
    <t>OBS (oral budesonide suspension) for eosinophilic esophagitis</t>
  </si>
  <si>
    <t>$69.9M on Acq, plus $175M in subsequent dev/reg milestones</t>
  </si>
  <si>
    <t>3/2009</t>
  </si>
  <si>
    <t>Evotec AG</t>
  </si>
  <si>
    <t>Option to repurchase EVT-01 NMDA antagonists for depression</t>
  </si>
  <si>
    <t>$10M signing fee for option to repurchase (see 3/09 restated license) plus $65M on option exercise | 10.15-13.55% ex-Japan; 7.65-11.05% in Japan</t>
  </si>
  <si>
    <t>7/2009</t>
  </si>
  <si>
    <t>Allergan, Actavis, Lundbeck A/S, Forest Laboratories</t>
  </si>
  <si>
    <t>Caraco Pharmaceutical Laboratories</t>
  </si>
  <si>
    <t>Generic Lexapro (escitalopram) and future generic products in US</t>
  </si>
  <si>
    <t>15-45% royalty, depending on Product</t>
  </si>
  <si>
    <t>Sentynl Therapeutics</t>
  </si>
  <si>
    <t>Abstral (fentanyl) sublingual tablets for treatment of pain</t>
  </si>
  <si>
    <t>Alkermes</t>
  </si>
  <si>
    <t>Recro Pharma</t>
  </si>
  <si>
    <t>Meloxicam, BiDil, Focalin, Paladin, Ritalin,  Verapimil, Zohydro products &amp; manu facility</t>
  </si>
  <si>
    <t>$80M for Meloxicam | 10% royalty on Meloxicam Products | $40M for Meloxicam | 350K 7 yr Recro warrant shares @ 100% premium to FMV at closing | Manu Cost plus 100% for Meloxicam supply</t>
  </si>
  <si>
    <t>Service Laboratory, Synthetics</t>
  </si>
  <si>
    <t>2/2010</t>
  </si>
  <si>
    <t>Lead Therapeutics</t>
  </si>
  <si>
    <t>$57M in PARP dev/reg milestones | $11M for Non-PARP</t>
  </si>
  <si>
    <t>Stromedix</t>
  </si>
  <si>
    <t>Acquisition of fibrotic disease co for cash</t>
  </si>
  <si>
    <t>Aevi Genomic Medicine</t>
  </si>
  <si>
    <t>Acquisition in $16.1M all-stock transaction plus CVRs valued at $6.5M</t>
  </si>
  <si>
    <t>Autoimmune/Inflammatory, Cancer, Gastrointestinal, Other/Miscellaneous</t>
  </si>
  <si>
    <t>Alder Biopharmaceuticals</t>
  </si>
  <si>
    <t>Acquisition for $18/sh in cash plus CVR</t>
  </si>
  <si>
    <t>CVR for additional $2/sh upon EMA approval of eptinezumab | $18/sh</t>
  </si>
  <si>
    <t>Lantheus Medical Imaging</t>
  </si>
  <si>
    <t>Acquisition in all-stock transaction</t>
  </si>
  <si>
    <t>per 2/20 restatement, 40% of sales above $100-150M threshold in 2022-23 | 0.25shares/Progenics share (21.5% premium) for 35% of combined co; per 2/20 restated, increased to 0.31 shares/Prgenics share and 40% of combined ownership plus CVR</t>
  </si>
  <si>
    <t>1/2020</t>
  </si>
  <si>
    <t>Clearsight, SCI Solutions</t>
  </si>
  <si>
    <t>R1 RCM</t>
  </si>
  <si>
    <t>Buyer Category</t>
  </si>
  <si>
    <t>Buyer</t>
  </si>
  <si>
    <t>Seller Category</t>
  </si>
  <si>
    <t>Seller</t>
  </si>
  <si>
    <t>Add'l Milestones ($M)</t>
  </si>
  <si>
    <t>Dev/Reg Milestones ($M)</t>
  </si>
  <si>
    <t>Add'l Milestones Tag</t>
  </si>
  <si>
    <t>Dev/Reg Milestones Tag</t>
  </si>
  <si>
    <t>Sales Milestones Tag</t>
  </si>
  <si>
    <t>Diligence Tag</t>
  </si>
  <si>
    <t>Lead Molecule</t>
  </si>
  <si>
    <t>Average</t>
  </si>
  <si>
    <t>Median</t>
  </si>
  <si>
    <t>Upfront Share of Total</t>
  </si>
  <si>
    <t>Most Advanced Stage</t>
  </si>
  <si>
    <t>CVR Payout Term (yrs)</t>
  </si>
  <si>
    <t>CVR Payout Term Tag</t>
  </si>
  <si>
    <t>Early Stage Average:</t>
  </si>
  <si>
    <t>Early Stage Median:</t>
  </si>
  <si>
    <t>Mid-Stage Average:</t>
  </si>
  <si>
    <t>Mid-Stage Median:</t>
  </si>
  <si>
    <t>Late Stage Average:</t>
  </si>
  <si>
    <t>Late Stage Median:</t>
  </si>
  <si>
    <t>Diligence Standard</t>
  </si>
  <si>
    <t>CRE; 1 indication</t>
  </si>
  <si>
    <t>Diligent Efforts</t>
  </si>
  <si>
    <t>CRE</t>
  </si>
  <si>
    <t>$1B+ Deals Average</t>
  </si>
  <si>
    <t>$1B+ Deals Median</t>
  </si>
  <si>
    <t>$500M-$1B Deals Average</t>
  </si>
  <si>
    <t>$500M-$1B Deals Median</t>
  </si>
  <si>
    <t>$100-500M Deals Average</t>
  </si>
  <si>
    <t>$100-500M Deals Median</t>
  </si>
  <si>
    <t>&lt;$100M Deals Average</t>
  </si>
  <si>
    <t>&lt;$100M Deals Median</t>
  </si>
  <si>
    <t>"not knowingly frustrate or impede"</t>
  </si>
  <si>
    <t>"sole discretion… nothing … requires… expend any efforts"</t>
  </si>
  <si>
    <t>"in no event… required… any level of efforts"</t>
  </si>
  <si>
    <t>CRE; "shall not… impede"</t>
  </si>
  <si>
    <t>Applicable Efforts; 3 registration studies</t>
  </si>
  <si>
    <t>reasonable best efforts</t>
  </si>
  <si>
    <t>CRE; "not… avoid"</t>
  </si>
  <si>
    <t>Diligent Efforts; "nor… avoid"</t>
  </si>
  <si>
    <t>"not permit… intent of preventing"</t>
  </si>
  <si>
    <t>commercially reasonable basis</t>
  </si>
  <si>
    <t>Reasonable Efforts</t>
  </si>
  <si>
    <t>"sole and absolute discretion"</t>
  </si>
  <si>
    <t>"in its sole discretion"</t>
  </si>
  <si>
    <t>CRE; "not… undermine"</t>
  </si>
  <si>
    <t>Applicable Efforts</t>
  </si>
  <si>
    <t>Diligent Efforts; "nor… avoiding"</t>
  </si>
  <si>
    <t>CRE; "nor… avoiding"</t>
  </si>
  <si>
    <t>"not… adversely affect"</t>
  </si>
  <si>
    <t>"consistent with… past practices"</t>
  </si>
  <si>
    <t>Best Efforts</t>
  </si>
  <si>
    <t>2018-20 Payout Term Average</t>
  </si>
  <si>
    <t>2018-20 Payout Term Median</t>
  </si>
  <si>
    <t>2015-17 Payout Term Average</t>
  </si>
  <si>
    <t>2015-17 Payout Term Median</t>
  </si>
  <si>
    <t>2013-14 Payout Term Average</t>
  </si>
  <si>
    <t>2013-14 Payout Term Median</t>
  </si>
  <si>
    <t>2010-12 Payout Term Average</t>
  </si>
  <si>
    <t>2010-12 Payout Term Median</t>
  </si>
  <si>
    <t>2003-09 Payout Term Average</t>
  </si>
  <si>
    <t>2003-09 Payout Term Median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</si>
</sst>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yy"/>
    <numFmt numFmtId="165" formatCode="0.0"/>
  </numFmts>
  <fonts count="42">
    <font>
      <sz val="10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sz val="10"/>
      <color indexed="12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40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65" fontId="2" fillId="0" borderId="0" xfId="0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 quotePrefix="1">
      <alignment horizontal="center"/>
      <protection/>
    </xf>
    <xf numFmtId="165" fontId="2" fillId="0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right" wrapText="1"/>
    </xf>
    <xf numFmtId="9" fontId="1" fillId="0" borderId="0" xfId="0" applyNumberFormat="1" applyFont="1" applyFill="1" applyBorder="1" applyAlignment="1" applyProtection="1">
      <alignment wrapText="1"/>
      <protection/>
    </xf>
    <xf numFmtId="9" fontId="2" fillId="0" borderId="0" xfId="0" applyNumberFormat="1" applyFont="1" applyFill="1" applyBorder="1" applyAlignment="1" applyProtection="1">
      <alignment horizontal="right"/>
      <protection/>
    </xf>
    <xf numFmtId="9" fontId="0" fillId="0" borderId="0" xfId="0" applyNumberFormat="1" applyAlignment="1">
      <alignment/>
    </xf>
    <xf numFmtId="165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40" fontId="1" fillId="0" borderId="0" xfId="0" applyNumberFormat="1" applyFont="1" applyFill="1" applyBorder="1" applyAlignment="1" applyProtection="1">
      <alignment horizontal="right"/>
      <protection/>
    </xf>
    <xf numFmtId="40" fontId="2" fillId="0" borderId="0" xfId="0" applyNumberFormat="1" applyFont="1" applyFill="1" applyBorder="1" applyAlignment="1" applyProtection="1">
      <alignment horizontal="center" wrapText="1"/>
      <protection/>
    </xf>
    <xf numFmtId="40" fontId="2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" fillId="0" borderId="0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15.7109375" style="0" customWidth="1"/>
    <col min="2" max="2" width="28.7109375" style="0" customWidth="1"/>
    <col min="3" max="3" width="29.28125" style="0" customWidth="1"/>
    <col min="4" max="4" width="14.7109375" style="0" customWidth="1"/>
    <col min="5" max="5" width="15.7109375" style="7" customWidth="1"/>
    <col min="6" max="6" width="20.7109375" style="0" customWidth="1"/>
    <col min="7" max="7" width="60.7109375" style="15" customWidth="1"/>
    <col min="8" max="9" width="15.7109375" style="0" customWidth="1"/>
    <col min="10" max="10" width="14.421875" style="0" customWidth="1"/>
    <col min="11" max="11" width="14.421875" style="21" customWidth="1"/>
    <col min="12" max="12" width="11.421875" style="7" customWidth="1"/>
    <col min="13" max="17" width="15.7109375" style="0" customWidth="1"/>
    <col min="18" max="18" width="12.140625" style="0" customWidth="1"/>
    <col min="19" max="19" width="17.28125" style="0" customWidth="1"/>
    <col min="20" max="20" width="11.7109375" style="0" customWidth="1"/>
    <col min="21" max="21" width="17.7109375" style="11" customWidth="1"/>
    <col min="22" max="22" width="15.7109375" style="0" customWidth="1"/>
    <col min="23" max="23" width="21.421875" style="0" customWidth="1"/>
    <col min="24" max="24" width="21.140625" style="0" customWidth="1"/>
    <col min="25" max="25" width="28.8515625" style="0" customWidth="1"/>
    <col min="26" max="26" width="27.7109375" style="0" customWidth="1"/>
    <col min="27" max="27" width="60.7109375" style="0" customWidth="1"/>
  </cols>
  <sheetData>
    <row r="1" spans="1:27" s="15" customFormat="1" ht="38.25">
      <c r="A1" s="12" t="s">
        <v>2</v>
      </c>
      <c r="B1" s="13" t="s">
        <v>979</v>
      </c>
      <c r="C1" s="13" t="s">
        <v>977</v>
      </c>
      <c r="D1" s="13" t="s">
        <v>990</v>
      </c>
      <c r="E1" s="12" t="s">
        <v>0</v>
      </c>
      <c r="F1" s="14" t="s">
        <v>3</v>
      </c>
      <c r="G1" s="14" t="s">
        <v>4</v>
      </c>
      <c r="H1" s="14" t="s">
        <v>1</v>
      </c>
      <c r="I1" s="14" t="s">
        <v>6</v>
      </c>
      <c r="J1" s="14" t="s">
        <v>7</v>
      </c>
      <c r="K1" s="19" t="s">
        <v>989</v>
      </c>
      <c r="L1" s="12" t="s">
        <v>5</v>
      </c>
      <c r="M1" s="14" t="s">
        <v>981</v>
      </c>
      <c r="N1" s="13" t="s">
        <v>983</v>
      </c>
      <c r="O1" s="14" t="s">
        <v>980</v>
      </c>
      <c r="P1" s="13" t="s">
        <v>982</v>
      </c>
      <c r="Q1" s="14" t="s">
        <v>8</v>
      </c>
      <c r="R1" s="13" t="s">
        <v>984</v>
      </c>
      <c r="S1" s="14" t="s">
        <v>9</v>
      </c>
      <c r="T1" s="13" t="s">
        <v>985</v>
      </c>
      <c r="U1" s="22" t="s">
        <v>991</v>
      </c>
      <c r="V1" s="13" t="s">
        <v>992</v>
      </c>
      <c r="W1" s="13" t="s">
        <v>978</v>
      </c>
      <c r="X1" s="13" t="s">
        <v>976</v>
      </c>
      <c r="Y1" s="14" t="s">
        <v>11</v>
      </c>
      <c r="Z1" s="14" t="s">
        <v>12</v>
      </c>
      <c r="AA1" s="14" t="s">
        <v>10</v>
      </c>
    </row>
    <row r="2" spans="1:27" ht="12.75">
      <c r="A2" s="3" t="s">
        <v>973</v>
      </c>
      <c r="B2" s="1" t="s">
        <v>974</v>
      </c>
      <c r="C2" s="1" t="s">
        <v>975</v>
      </c>
      <c r="D2" s="17" t="s">
        <v>33</v>
      </c>
      <c r="E2" s="6" t="str">
        <f>HYPERLINK("https://www.bioscidb.com/browse/deal_bg/15976","Link")</f>
        <v>Link</v>
      </c>
      <c r="F2" s="1" t="s">
        <v>27</v>
      </c>
      <c r="G2" s="16" t="s">
        <v>30</v>
      </c>
      <c r="H2" s="4">
        <v>200</v>
      </c>
      <c r="I2" s="4">
        <v>190</v>
      </c>
      <c r="J2" s="4" t="s">
        <v>14</v>
      </c>
      <c r="K2" s="20">
        <f>I2/H2</f>
        <v>0.95</v>
      </c>
      <c r="L2" s="5" t="s">
        <v>14</v>
      </c>
      <c r="M2" s="4" t="s">
        <v>14</v>
      </c>
      <c r="N2" s="4"/>
      <c r="O2" s="4" t="s">
        <v>14</v>
      </c>
      <c r="P2" s="4"/>
      <c r="Q2" s="4">
        <v>10</v>
      </c>
      <c r="R2" s="4"/>
      <c r="S2" s="4" t="s">
        <v>14</v>
      </c>
      <c r="T2" s="4"/>
      <c r="U2" s="8"/>
      <c r="W2" s="1" t="s">
        <v>14</v>
      </c>
      <c r="X2" s="1" t="s">
        <v>14</v>
      </c>
      <c r="Y2" s="1" t="s">
        <v>14</v>
      </c>
      <c r="Z2" s="1" t="s">
        <v>14</v>
      </c>
      <c r="AA2" s="1" t="s">
        <v>14</v>
      </c>
    </row>
    <row r="3" spans="1:27" ht="25.5">
      <c r="A3" s="3" t="s">
        <v>921</v>
      </c>
      <c r="B3" s="1" t="s">
        <v>964</v>
      </c>
      <c r="C3" s="1" t="s">
        <v>900</v>
      </c>
      <c r="D3" s="1" t="s">
        <v>67</v>
      </c>
      <c r="E3" s="6" t="str">
        <f>HYPERLINK("https://www.bioscidb.com/browse/deal_bg/15606","Link")</f>
        <v>Link</v>
      </c>
      <c r="F3" s="1" t="s">
        <v>27</v>
      </c>
      <c r="G3" s="16" t="s">
        <v>965</v>
      </c>
      <c r="H3" s="4">
        <v>22.6</v>
      </c>
      <c r="I3" s="4" t="s">
        <v>14</v>
      </c>
      <c r="J3" s="4">
        <v>16.1</v>
      </c>
      <c r="K3" s="20">
        <f>J3/H3</f>
        <v>0.7123893805309734</v>
      </c>
      <c r="L3" s="5" t="s">
        <v>19</v>
      </c>
      <c r="M3" s="4">
        <v>6.5</v>
      </c>
      <c r="N3" s="6" t="str">
        <f>HYPERLINK("https://www.bioscidb.com/tag/gettag/14841993-370e-4df0-b4bd-c6716c7daa28","Tag")</f>
        <v>Tag</v>
      </c>
      <c r="O3" s="4" t="s">
        <v>14</v>
      </c>
      <c r="P3" s="4"/>
      <c r="Q3" s="4" t="s">
        <v>14</v>
      </c>
      <c r="R3" s="4"/>
      <c r="S3" s="4" t="s">
        <v>14</v>
      </c>
      <c r="T3" s="4"/>
      <c r="U3" s="8">
        <v>5</v>
      </c>
      <c r="V3" s="6" t="str">
        <f>HYPERLINK("https://www.bioscidb.com/tag/gettag/9e5e4cdb-6c4a-41a5-b85e-b545f67add5e","Tag")</f>
        <v>Tag</v>
      </c>
      <c r="W3" s="1" t="s">
        <v>14</v>
      </c>
      <c r="X3" s="1" t="s">
        <v>211</v>
      </c>
      <c r="Y3" s="1" t="s">
        <v>966</v>
      </c>
      <c r="Z3" s="1" t="s">
        <v>84</v>
      </c>
      <c r="AA3" s="1" t="s">
        <v>14</v>
      </c>
    </row>
    <row r="4" spans="1:27" ht="12.75">
      <c r="A4" s="3" t="s">
        <v>921</v>
      </c>
      <c r="B4" s="1" t="s">
        <v>922</v>
      </c>
      <c r="C4" s="1" t="s">
        <v>923</v>
      </c>
      <c r="D4" s="1" t="s">
        <v>280</v>
      </c>
      <c r="E4" s="6" t="str">
        <f>HYPERLINK("https://www.bioscidb.com/browse/deal_bg/15575","Link")</f>
        <v>Link</v>
      </c>
      <c r="F4" s="1" t="s">
        <v>45</v>
      </c>
      <c r="G4" s="16" t="s">
        <v>924</v>
      </c>
      <c r="H4" s="4">
        <v>60</v>
      </c>
      <c r="I4" s="4">
        <v>40</v>
      </c>
      <c r="J4" s="4">
        <v>10</v>
      </c>
      <c r="K4" s="20">
        <f>(I4+J4)/H4</f>
        <v>0.8333333333333334</v>
      </c>
      <c r="L4" s="5" t="s">
        <v>14</v>
      </c>
      <c r="M4" s="4">
        <v>10</v>
      </c>
      <c r="N4" s="4"/>
      <c r="O4" s="4" t="s">
        <v>14</v>
      </c>
      <c r="P4" s="4"/>
      <c r="Q4" s="4" t="s">
        <v>14</v>
      </c>
      <c r="R4" s="4"/>
      <c r="S4" s="4" t="s">
        <v>14</v>
      </c>
      <c r="T4" s="4"/>
      <c r="U4" s="8"/>
      <c r="V4" s="4"/>
      <c r="W4" s="1" t="s">
        <v>211</v>
      </c>
      <c r="X4" s="1" t="s">
        <v>211</v>
      </c>
      <c r="Y4" s="1" t="s">
        <v>55</v>
      </c>
      <c r="Z4" s="1" t="s">
        <v>286</v>
      </c>
      <c r="AA4" s="1" t="s">
        <v>925</v>
      </c>
    </row>
    <row r="5" spans="1:27" ht="12.75">
      <c r="A5" s="3" t="s">
        <v>914</v>
      </c>
      <c r="B5" s="1" t="s">
        <v>915</v>
      </c>
      <c r="C5" s="1" t="s">
        <v>916</v>
      </c>
      <c r="D5" s="1" t="s">
        <v>56</v>
      </c>
      <c r="E5" s="6" t="str">
        <f>HYPERLINK("https://www.bioscidb.com/browse/deal_bg/15418","Link")</f>
        <v>Link</v>
      </c>
      <c r="F5" s="1" t="s">
        <v>27</v>
      </c>
      <c r="G5" s="16" t="s">
        <v>917</v>
      </c>
      <c r="H5" s="4">
        <v>165</v>
      </c>
      <c r="I5" s="4" t="s">
        <v>14</v>
      </c>
      <c r="J5" s="4">
        <v>55</v>
      </c>
      <c r="K5" s="20">
        <f>J5/H5</f>
        <v>0.3333333333333333</v>
      </c>
      <c r="L5" s="5" t="s">
        <v>19</v>
      </c>
      <c r="M5" s="4">
        <v>110</v>
      </c>
      <c r="N5" s="6" t="str">
        <f>HYPERLINK("https://www.bioscidb.com/tag/gettag/fa1c291c-6398-47d4-9e39-1f78eef92303","Tag")</f>
        <v>Tag</v>
      </c>
      <c r="O5" s="4" t="s">
        <v>14</v>
      </c>
      <c r="P5" s="4"/>
      <c r="Q5" s="4" t="s">
        <v>14</v>
      </c>
      <c r="R5" s="4"/>
      <c r="S5" s="4" t="s">
        <v>14</v>
      </c>
      <c r="T5" s="6" t="str">
        <f>HYPERLINK("https://www.bioscidb.com/tag/gettag/b3360ee7-1ca6-44c3-99e1-ce0fac79973c","Tag")</f>
        <v>Tag</v>
      </c>
      <c r="U5" s="9">
        <v>0.5</v>
      </c>
      <c r="V5" s="6" t="str">
        <f>HYPERLINK("https://www.bioscidb.com/tag/gettag/d3b085ef-3688-405f-9026-949ff66e0e57","Tag")</f>
        <v>Tag</v>
      </c>
      <c r="W5" s="1" t="s">
        <v>211</v>
      </c>
      <c r="X5" s="1" t="s">
        <v>211</v>
      </c>
      <c r="Y5" s="1" t="s">
        <v>143</v>
      </c>
      <c r="Z5" s="1" t="s">
        <v>89</v>
      </c>
      <c r="AA5" s="1" t="s">
        <v>918</v>
      </c>
    </row>
    <row r="6" spans="1:27" ht="12.75">
      <c r="A6" s="3" t="s">
        <v>891</v>
      </c>
      <c r="B6" s="1" t="s">
        <v>892</v>
      </c>
      <c r="C6" s="1" t="s">
        <v>47</v>
      </c>
      <c r="D6" s="1" t="s">
        <v>43</v>
      </c>
      <c r="E6" s="6" t="str">
        <f>HYPERLINK("https://www.bioscidb.com/browse/deal_bg/15254","Link")</f>
        <v>Link</v>
      </c>
      <c r="F6" s="1" t="s">
        <v>27</v>
      </c>
      <c r="G6" s="16" t="s">
        <v>893</v>
      </c>
      <c r="H6" s="4">
        <v>1225</v>
      </c>
      <c r="I6" s="4">
        <v>930</v>
      </c>
      <c r="J6" s="4" t="s">
        <v>14</v>
      </c>
      <c r="K6" s="20">
        <f>I6/H6</f>
        <v>0.7591836734693878</v>
      </c>
      <c r="L6" s="5" t="s">
        <v>19</v>
      </c>
      <c r="M6" s="4">
        <v>295</v>
      </c>
      <c r="N6" s="6" t="str">
        <f>HYPERLINK("https://www.bioscidb.com/tag/gettag/954a4332-76e3-4868-9032-150bfbccc792","Tag")</f>
        <v>Tag</v>
      </c>
      <c r="O6" s="4" t="s">
        <v>14</v>
      </c>
      <c r="P6" s="4"/>
      <c r="Q6" s="4" t="s">
        <v>14</v>
      </c>
      <c r="R6" s="4"/>
      <c r="S6" s="4" t="s">
        <v>14</v>
      </c>
      <c r="T6" s="6" t="str">
        <f>HYPERLINK("https://www.bioscidb.com/tag/gettag/57bbf638-407a-43d6-af94-10ae65df4838","Tag")</f>
        <v>Tag</v>
      </c>
      <c r="U6" s="8">
        <v>4.5</v>
      </c>
      <c r="V6" s="6" t="str">
        <f>HYPERLINK("https://www.bioscidb.com/tag/gettag/394cadff-70be-44d7-b950-8548f669e758","Tag")</f>
        <v>Tag</v>
      </c>
      <c r="W6" s="1" t="s">
        <v>14</v>
      </c>
      <c r="X6" s="1" t="s">
        <v>23</v>
      </c>
      <c r="Y6" s="1" t="s">
        <v>123</v>
      </c>
      <c r="Z6" s="1" t="s">
        <v>22</v>
      </c>
      <c r="AA6" s="1" t="s">
        <v>894</v>
      </c>
    </row>
    <row r="7" spans="1:27" ht="12.75">
      <c r="A7" s="3" t="s">
        <v>891</v>
      </c>
      <c r="B7" s="1" t="s">
        <v>656</v>
      </c>
      <c r="C7" s="1" t="s">
        <v>895</v>
      </c>
      <c r="D7" s="1" t="s">
        <v>56</v>
      </c>
      <c r="E7" s="6" t="str">
        <f>HYPERLINK("https://www.bioscidb.com/browse/deal_bg/15516","Link")</f>
        <v>Link</v>
      </c>
      <c r="F7" s="1" t="s">
        <v>45</v>
      </c>
      <c r="G7" s="16" t="s">
        <v>896</v>
      </c>
      <c r="H7" s="4">
        <v>55</v>
      </c>
      <c r="I7" s="4">
        <v>35</v>
      </c>
      <c r="J7" s="4" t="s">
        <v>14</v>
      </c>
      <c r="K7" s="20">
        <f>I7/H7</f>
        <v>0.6363636363636364</v>
      </c>
      <c r="L7" s="5" t="s">
        <v>14</v>
      </c>
      <c r="M7" s="4" t="s">
        <v>14</v>
      </c>
      <c r="N7" s="4"/>
      <c r="O7" s="4" t="s">
        <v>14</v>
      </c>
      <c r="P7" s="4"/>
      <c r="Q7" s="4">
        <v>20</v>
      </c>
      <c r="R7" s="4"/>
      <c r="S7" s="4" t="s">
        <v>14</v>
      </c>
      <c r="T7" s="4"/>
      <c r="U7" s="8"/>
      <c r="V7" s="4"/>
      <c r="W7" s="1" t="s">
        <v>211</v>
      </c>
      <c r="X7" s="1" t="s">
        <v>14</v>
      </c>
      <c r="Y7" s="1" t="s">
        <v>143</v>
      </c>
      <c r="Z7" s="1" t="s">
        <v>14</v>
      </c>
      <c r="AA7" s="1" t="s">
        <v>14</v>
      </c>
    </row>
    <row r="8" spans="1:27" ht="12.75">
      <c r="A8" s="3" t="s">
        <v>891</v>
      </c>
      <c r="B8" s="1" t="s">
        <v>900</v>
      </c>
      <c r="C8" s="1" t="s">
        <v>901</v>
      </c>
      <c r="D8" s="1" t="s">
        <v>56</v>
      </c>
      <c r="E8" s="6" t="str">
        <f>HYPERLINK("https://www.bioscidb.com/browse/deal_bg/15519","Link")</f>
        <v>Link</v>
      </c>
      <c r="F8" s="1" t="s">
        <v>27</v>
      </c>
      <c r="G8" s="16" t="s">
        <v>902</v>
      </c>
      <c r="H8" s="4">
        <v>32</v>
      </c>
      <c r="I8" s="4">
        <v>4.5</v>
      </c>
      <c r="J8" s="4">
        <v>12.5</v>
      </c>
      <c r="K8" s="20">
        <f>(I8+J8)/H8</f>
        <v>0.53125</v>
      </c>
      <c r="L8" s="5" t="s">
        <v>14</v>
      </c>
      <c r="M8" s="4" t="s">
        <v>14</v>
      </c>
      <c r="N8" s="4"/>
      <c r="O8" s="4" t="s">
        <v>14</v>
      </c>
      <c r="P8" s="4"/>
      <c r="Q8" s="4" t="s">
        <v>14</v>
      </c>
      <c r="R8" s="4"/>
      <c r="S8" s="4">
        <v>15</v>
      </c>
      <c r="T8" s="4"/>
      <c r="U8" s="8"/>
      <c r="V8" s="4"/>
      <c r="W8" s="1" t="s">
        <v>211</v>
      </c>
      <c r="X8" s="1" t="s">
        <v>14</v>
      </c>
      <c r="Y8" s="1" t="s">
        <v>14</v>
      </c>
      <c r="Z8" s="1" t="s">
        <v>14</v>
      </c>
      <c r="AA8" s="1" t="s">
        <v>903</v>
      </c>
    </row>
    <row r="9" spans="1:27" ht="12.75">
      <c r="A9" s="3" t="s">
        <v>891</v>
      </c>
      <c r="B9" s="1" t="s">
        <v>226</v>
      </c>
      <c r="C9" s="1" t="s">
        <v>970</v>
      </c>
      <c r="D9" s="1" t="s">
        <v>56</v>
      </c>
      <c r="E9" s="6" t="str">
        <f>HYPERLINK("https://www.bioscidb.com/browse/deal_bg/15179","Link")</f>
        <v>Link</v>
      </c>
      <c r="F9" s="1" t="s">
        <v>27</v>
      </c>
      <c r="G9" s="16" t="s">
        <v>971</v>
      </c>
      <c r="H9" s="4" t="s">
        <v>14</v>
      </c>
      <c r="I9" s="4" t="s">
        <v>14</v>
      </c>
      <c r="J9" s="4" t="s">
        <v>14</v>
      </c>
      <c r="K9" s="20"/>
      <c r="L9" s="5" t="s">
        <v>19</v>
      </c>
      <c r="M9" s="4" t="s">
        <v>14</v>
      </c>
      <c r="N9" s="4"/>
      <c r="O9" s="4" t="s">
        <v>14</v>
      </c>
      <c r="P9" s="4"/>
      <c r="Q9" s="4" t="s">
        <v>14</v>
      </c>
      <c r="R9" s="6" t="str">
        <f>HYPERLINK("https://www.bioscidb.com/tag/gettag/bc78e9b7-7af7-452c-a470-851413375870","Tag")</f>
        <v>Tag</v>
      </c>
      <c r="S9" s="4" t="s">
        <v>14</v>
      </c>
      <c r="T9" s="6" t="str">
        <f>HYPERLINK("https://www.bioscidb.com/tag/gettag/55f10157-3fa9-4873-ae31-b468ca5e5471","Tag")</f>
        <v>Tag</v>
      </c>
      <c r="U9" s="9">
        <v>4</v>
      </c>
      <c r="V9" s="6" t="str">
        <f>HYPERLINK("https://www.bioscidb.com/tag/gettag/f43c444e-f017-441c-a901-4671e411c006","Tag")</f>
        <v>Tag</v>
      </c>
      <c r="W9" s="1" t="s">
        <v>14</v>
      </c>
      <c r="X9" s="1" t="s">
        <v>14</v>
      </c>
      <c r="Y9" s="1" t="s">
        <v>55</v>
      </c>
      <c r="Z9" s="1" t="s">
        <v>22</v>
      </c>
      <c r="AA9" s="1" t="s">
        <v>972</v>
      </c>
    </row>
    <row r="10" spans="1:27" ht="12.75">
      <c r="A10" s="3" t="s">
        <v>904</v>
      </c>
      <c r="B10" s="1" t="s">
        <v>967</v>
      </c>
      <c r="C10" s="1" t="s">
        <v>394</v>
      </c>
      <c r="D10" s="1" t="s">
        <v>159</v>
      </c>
      <c r="E10" s="6" t="str">
        <f>HYPERLINK("https://www.bioscidb.com/browse/deal_bg/15098","Link")</f>
        <v>Link</v>
      </c>
      <c r="F10" s="1" t="s">
        <v>27</v>
      </c>
      <c r="G10" s="16" t="s">
        <v>968</v>
      </c>
      <c r="H10" s="4">
        <v>1950</v>
      </c>
      <c r="I10" s="4">
        <v>1755</v>
      </c>
      <c r="J10" s="4" t="s">
        <v>14</v>
      </c>
      <c r="K10" s="20">
        <f>I10/H10</f>
        <v>0.9</v>
      </c>
      <c r="L10" s="5" t="s">
        <v>19</v>
      </c>
      <c r="M10" s="4">
        <v>195</v>
      </c>
      <c r="N10" s="6" t="str">
        <f>HYPERLINK("https://www.bioscidb.com/tag/gettag/d487b7b7-6a65-4c07-8fd9-c2367df210cf","Tag")</f>
        <v>Tag</v>
      </c>
      <c r="O10" s="4" t="s">
        <v>14</v>
      </c>
      <c r="P10" s="4"/>
      <c r="Q10" s="4" t="s">
        <v>14</v>
      </c>
      <c r="R10" s="4"/>
      <c r="S10" s="4" t="s">
        <v>14</v>
      </c>
      <c r="T10" s="6" t="str">
        <f>HYPERLINK("https://www.bioscidb.com/tag/gettag/a785b6d6-f222-48c2-aab2-a295c0adb2fa","Tag")</f>
        <v>Tag</v>
      </c>
      <c r="U10" s="9">
        <v>5.2</v>
      </c>
      <c r="V10" s="6" t="str">
        <f>HYPERLINK("https://www.bioscidb.com/tag/gettag/9201eb34-ecd7-4b54-9574-104068da3161","Tag")</f>
        <v>Tag</v>
      </c>
      <c r="W10" s="1" t="s">
        <v>211</v>
      </c>
      <c r="X10" s="1" t="s">
        <v>66</v>
      </c>
      <c r="Y10" s="1" t="s">
        <v>139</v>
      </c>
      <c r="Z10" s="1" t="s">
        <v>84</v>
      </c>
      <c r="AA10" s="1" t="s">
        <v>969</v>
      </c>
    </row>
    <row r="11" spans="1:27" ht="12.75">
      <c r="A11" s="3" t="s">
        <v>904</v>
      </c>
      <c r="B11" s="1" t="s">
        <v>905</v>
      </c>
      <c r="C11" s="1" t="s">
        <v>906</v>
      </c>
      <c r="D11" s="1" t="s">
        <v>56</v>
      </c>
      <c r="E11" s="6" t="str">
        <f>HYPERLINK("https://www.bioscidb.com/browse/deal_bg/15157","Link")</f>
        <v>Link</v>
      </c>
      <c r="F11" s="1" t="s">
        <v>27</v>
      </c>
      <c r="G11" s="16" t="s">
        <v>907</v>
      </c>
      <c r="H11" s="4">
        <v>915</v>
      </c>
      <c r="I11" s="4">
        <v>870</v>
      </c>
      <c r="J11" s="4" t="s">
        <v>14</v>
      </c>
      <c r="K11" s="20">
        <f>I11/H11</f>
        <v>0.9508196721311475</v>
      </c>
      <c r="L11" s="5" t="s">
        <v>19</v>
      </c>
      <c r="M11" s="4">
        <v>45</v>
      </c>
      <c r="N11" s="6" t="str">
        <f>HYPERLINK("https://www.bioscidb.com/tag/gettag/ce7b6dd6-4193-431c-b89d-631a435a77d7","Tag")</f>
        <v>Tag</v>
      </c>
      <c r="O11" s="4" t="s">
        <v>14</v>
      </c>
      <c r="P11" s="4"/>
      <c r="Q11" s="4" t="s">
        <v>14</v>
      </c>
      <c r="R11" s="4"/>
      <c r="S11" s="4" t="s">
        <v>14</v>
      </c>
      <c r="T11" s="6" t="str">
        <f>HYPERLINK("https://www.bioscidb.com/tag/gettag/62e34de5-5a62-4ef8-b653-3a43712cc5ba","Tag")</f>
        <v>Tag</v>
      </c>
      <c r="U11" s="9">
        <v>3.2</v>
      </c>
      <c r="V11" s="6" t="str">
        <f>HYPERLINK("https://www.bioscidb.com/tag/gettag/6e14c01e-1d1f-4bb5-8487-b715e2258da6","Tag")</f>
        <v>Tag</v>
      </c>
      <c r="W11" s="1" t="s">
        <v>211</v>
      </c>
      <c r="X11" s="1" t="s">
        <v>14</v>
      </c>
      <c r="Y11" s="1" t="s">
        <v>123</v>
      </c>
      <c r="Z11" s="1" t="s">
        <v>22</v>
      </c>
      <c r="AA11" s="1" t="s">
        <v>908</v>
      </c>
    </row>
    <row r="12" spans="1:27" ht="12.75">
      <c r="A12" s="3" t="s">
        <v>663</v>
      </c>
      <c r="B12" s="1" t="s">
        <v>926</v>
      </c>
      <c r="C12" s="1" t="s">
        <v>192</v>
      </c>
      <c r="D12" s="17" t="s">
        <v>43</v>
      </c>
      <c r="E12" s="6" t="str">
        <f>HYPERLINK("https://www.bioscidb.com/browse/deal_bg/15033","Link")</f>
        <v>Link</v>
      </c>
      <c r="F12" s="1" t="s">
        <v>45</v>
      </c>
      <c r="G12" s="16" t="s">
        <v>100</v>
      </c>
      <c r="H12" s="4">
        <v>400</v>
      </c>
      <c r="I12" s="4">
        <v>175</v>
      </c>
      <c r="J12" s="4">
        <v>75</v>
      </c>
      <c r="K12" s="20">
        <f>(I12+J12)/H12</f>
        <v>0.625</v>
      </c>
      <c r="L12" s="5" t="s">
        <v>19</v>
      </c>
      <c r="M12" s="4">
        <v>150</v>
      </c>
      <c r="N12" s="6" t="str">
        <f>HYPERLINK("https://www.bioscidb.com/tag/gettag/384b7f39-8770-4ac4-ab4a-3bc21276680f","Tag")</f>
        <v>Tag</v>
      </c>
      <c r="O12" s="4" t="s">
        <v>14</v>
      </c>
      <c r="P12" s="4"/>
      <c r="Q12" s="4" t="s">
        <v>14</v>
      </c>
      <c r="R12" s="4"/>
      <c r="S12" s="4">
        <v>5</v>
      </c>
      <c r="T12" s="6" t="str">
        <f>HYPERLINK("https://www.bioscidb.com/tag/gettag/ac607259-1710-4f2c-a958-c1c4463a6325","Tag")</f>
        <v>Tag</v>
      </c>
      <c r="U12" s="8">
        <v>15</v>
      </c>
      <c r="V12" s="6" t="str">
        <f>HYPERLINK("https://www.bioscidb.com/tag/gettag/9b4c25cb-c404-4e1e-990f-1fb7e6e89f66","Tag")</f>
        <v>Tag</v>
      </c>
      <c r="W12" s="1" t="s">
        <v>14</v>
      </c>
      <c r="X12" s="1" t="s">
        <v>14</v>
      </c>
      <c r="Y12" s="1" t="s">
        <v>317</v>
      </c>
      <c r="Z12" s="1" t="s">
        <v>14</v>
      </c>
      <c r="AA12" s="1" t="s">
        <v>927</v>
      </c>
    </row>
    <row r="13" spans="1:27" ht="12.75">
      <c r="A13" s="3" t="s">
        <v>663</v>
      </c>
      <c r="B13" s="1" t="s">
        <v>888</v>
      </c>
      <c r="C13" s="1" t="s">
        <v>889</v>
      </c>
      <c r="D13" s="1" t="s">
        <v>131</v>
      </c>
      <c r="E13" s="6" t="str">
        <f>HYPERLINK("https://www.bioscidb.com/browse/deal_bg/15485","Link")</f>
        <v>Link</v>
      </c>
      <c r="F13" s="1" t="s">
        <v>27</v>
      </c>
      <c r="G13" s="16" t="s">
        <v>30</v>
      </c>
      <c r="H13" s="4">
        <v>101.8</v>
      </c>
      <c r="I13" s="4">
        <v>70.4</v>
      </c>
      <c r="J13" s="4" t="s">
        <v>14</v>
      </c>
      <c r="K13" s="20">
        <f>I13/H13</f>
        <v>0.6915520628683695</v>
      </c>
      <c r="L13" s="5" t="s">
        <v>19</v>
      </c>
      <c r="M13" s="4" t="s">
        <v>14</v>
      </c>
      <c r="N13" s="4"/>
      <c r="O13" s="4" t="s">
        <v>14</v>
      </c>
      <c r="P13" s="4"/>
      <c r="Q13" s="4">
        <v>27.4</v>
      </c>
      <c r="R13" s="6" t="str">
        <f>HYPERLINK("https://www.bioscidb.com/tag/gettag/8a11a4b4-62fc-4adc-943b-ba1e7fe00736","Tag")</f>
        <v>Tag</v>
      </c>
      <c r="S13" s="4" t="s">
        <v>14</v>
      </c>
      <c r="T13" s="4"/>
      <c r="U13" s="8"/>
      <c r="V13" s="4"/>
      <c r="W13" s="1" t="s">
        <v>14</v>
      </c>
      <c r="X13" s="1" t="s">
        <v>14</v>
      </c>
      <c r="Y13" s="1" t="s">
        <v>61</v>
      </c>
      <c r="Z13" s="1" t="s">
        <v>131</v>
      </c>
      <c r="AA13" s="1" t="s">
        <v>890</v>
      </c>
    </row>
    <row r="14" spans="1:27" ht="12.75">
      <c r="A14" s="3" t="s">
        <v>663</v>
      </c>
      <c r="B14" s="1" t="s">
        <v>881</v>
      </c>
      <c r="C14" s="1" t="s">
        <v>861</v>
      </c>
      <c r="D14" s="17" t="s">
        <v>248</v>
      </c>
      <c r="E14" s="6" t="str">
        <f>HYPERLINK("https://www.bioscidb.com/browse/deal_bg/15568","Link")</f>
        <v>Link</v>
      </c>
      <c r="F14" s="1" t="s">
        <v>27</v>
      </c>
      <c r="G14" s="16" t="s">
        <v>882</v>
      </c>
      <c r="H14" s="4" t="s">
        <v>14</v>
      </c>
      <c r="I14" s="4" t="s">
        <v>14</v>
      </c>
      <c r="J14" s="4" t="s">
        <v>14</v>
      </c>
      <c r="K14" s="20"/>
      <c r="L14" s="5" t="s">
        <v>14</v>
      </c>
      <c r="M14" s="4" t="s">
        <v>14</v>
      </c>
      <c r="N14" s="4"/>
      <c r="O14" s="4" t="s">
        <v>14</v>
      </c>
      <c r="P14" s="4"/>
      <c r="Q14" s="4" t="s">
        <v>14</v>
      </c>
      <c r="R14" s="4"/>
      <c r="S14" s="4" t="s">
        <v>14</v>
      </c>
      <c r="T14" s="4"/>
      <c r="U14" s="8"/>
      <c r="V14" s="4"/>
      <c r="W14" s="1" t="s">
        <v>14</v>
      </c>
      <c r="X14" s="1" t="s">
        <v>14</v>
      </c>
      <c r="Y14" s="1" t="s">
        <v>55</v>
      </c>
      <c r="Z14" s="1" t="s">
        <v>14</v>
      </c>
      <c r="AA14" s="1" t="s">
        <v>883</v>
      </c>
    </row>
    <row r="15" spans="1:27" ht="25.5">
      <c r="A15" s="3" t="s">
        <v>663</v>
      </c>
      <c r="B15" s="1" t="s">
        <v>897</v>
      </c>
      <c r="C15" s="1" t="s">
        <v>898</v>
      </c>
      <c r="D15" s="1" t="s">
        <v>131</v>
      </c>
      <c r="E15" s="6" t="str">
        <f>HYPERLINK("https://www.bioscidb.com/browse/deal_bg/15517","Link")</f>
        <v>Link</v>
      </c>
      <c r="F15" s="1" t="s">
        <v>27</v>
      </c>
      <c r="G15" s="16" t="s">
        <v>899</v>
      </c>
      <c r="H15" s="4">
        <v>300</v>
      </c>
      <c r="I15" s="4">
        <v>40</v>
      </c>
      <c r="J15" s="4" t="s">
        <v>14</v>
      </c>
      <c r="K15" s="20">
        <f>I15/H15</f>
        <v>0.13333333333333333</v>
      </c>
      <c r="L15" s="5" t="s">
        <v>19</v>
      </c>
      <c r="M15" s="4">
        <v>260</v>
      </c>
      <c r="N15" s="6" t="str">
        <f>HYPERLINK("https://www.bioscidb.com/tag/gettag/494d2025-bfd9-42eb-a7ea-c92070f79904","Tag")</f>
        <v>Tag</v>
      </c>
      <c r="O15" s="4" t="s">
        <v>14</v>
      </c>
      <c r="P15" s="4"/>
      <c r="Q15" s="4" t="s">
        <v>14</v>
      </c>
      <c r="R15" s="4"/>
      <c r="S15" s="4" t="s">
        <v>14</v>
      </c>
      <c r="T15" s="6" t="str">
        <f>HYPERLINK("https://www.bioscidb.com/tag/gettag/2aa22c4b-240b-4081-8b98-ffc4e9a4408c","Tag")</f>
        <v>Tag</v>
      </c>
      <c r="U15" s="9">
        <v>7.3</v>
      </c>
      <c r="V15" s="6" t="str">
        <f>HYPERLINK("https://www.bioscidb.com/tag/gettag/1b51dc28-be31-41a7-b0d6-77598a0a3726","Tag")</f>
        <v>Tag</v>
      </c>
      <c r="W15" s="1" t="s">
        <v>14</v>
      </c>
      <c r="X15" s="1" t="s">
        <v>14</v>
      </c>
      <c r="Y15" s="1" t="s">
        <v>21</v>
      </c>
      <c r="Z15" s="1" t="s">
        <v>131</v>
      </c>
      <c r="AA15" s="1" t="s">
        <v>14</v>
      </c>
    </row>
    <row r="16" spans="1:27" ht="25.5">
      <c r="A16" s="3" t="s">
        <v>869</v>
      </c>
      <c r="B16" s="1" t="s">
        <v>870</v>
      </c>
      <c r="C16" s="1" t="s">
        <v>871</v>
      </c>
      <c r="D16" s="17" t="s">
        <v>50</v>
      </c>
      <c r="E16" s="6" t="str">
        <f>HYPERLINK("https://www.bioscidb.com/browse/deal_bg/15413","Link")</f>
        <v>Link</v>
      </c>
      <c r="F16" s="1" t="s">
        <v>27</v>
      </c>
      <c r="G16" s="16" t="s">
        <v>872</v>
      </c>
      <c r="H16" s="4" t="s">
        <v>14</v>
      </c>
      <c r="I16" s="4" t="s">
        <v>14</v>
      </c>
      <c r="J16" s="4" t="s">
        <v>14</v>
      </c>
      <c r="K16" s="20"/>
      <c r="L16" s="5" t="s">
        <v>19</v>
      </c>
      <c r="M16" s="4" t="s">
        <v>14</v>
      </c>
      <c r="N16" s="4"/>
      <c r="O16" s="4" t="s">
        <v>14</v>
      </c>
      <c r="P16" s="6" t="str">
        <f>HYPERLINK("https://www.bioscidb.com/tag/gettag/e48ed99b-85f1-4fa9-9860-9d5b9278338d","Tag")</f>
        <v>Tag</v>
      </c>
      <c r="Q16" s="4" t="s">
        <v>14</v>
      </c>
      <c r="R16" s="4"/>
      <c r="S16" s="4" t="s">
        <v>14</v>
      </c>
      <c r="T16" s="4"/>
      <c r="U16" s="8">
        <v>15</v>
      </c>
      <c r="V16" s="6" t="str">
        <f>HYPERLINK("https://www.bioscidb.com/tag/gettag/45ac4440-d852-4cfd-a108-4f72303245ad","Tag")</f>
        <v>Tag</v>
      </c>
      <c r="W16" s="1" t="s">
        <v>211</v>
      </c>
      <c r="X16" s="1" t="s">
        <v>14</v>
      </c>
      <c r="Y16" s="1" t="s">
        <v>139</v>
      </c>
      <c r="Z16" s="1" t="s">
        <v>14</v>
      </c>
      <c r="AA16" s="1" t="s">
        <v>873</v>
      </c>
    </row>
    <row r="17" spans="1:27" ht="25.5">
      <c r="A17" s="3" t="s">
        <v>869</v>
      </c>
      <c r="B17" s="1" t="s">
        <v>877</v>
      </c>
      <c r="C17" s="1" t="s">
        <v>878</v>
      </c>
      <c r="D17" s="1" t="s">
        <v>90</v>
      </c>
      <c r="E17" s="6" t="str">
        <f>HYPERLINK("https://www.bioscidb.com/browse/deal_bg/14879","Link")</f>
        <v>Link</v>
      </c>
      <c r="F17" s="1" t="s">
        <v>27</v>
      </c>
      <c r="G17" s="16" t="s">
        <v>879</v>
      </c>
      <c r="H17" s="4">
        <v>93</v>
      </c>
      <c r="I17" s="4" t="s">
        <v>14</v>
      </c>
      <c r="J17" s="4">
        <v>5</v>
      </c>
      <c r="K17" s="20">
        <f>J17/H17</f>
        <v>0.053763440860215055</v>
      </c>
      <c r="L17" s="5" t="s">
        <v>19</v>
      </c>
      <c r="M17" s="4">
        <v>8</v>
      </c>
      <c r="N17" s="6" t="str">
        <f>HYPERLINK("https://www.bioscidb.com/tag/gettag/58c58519-a3d3-4e28-bf73-52bd52088a34","Tag")</f>
        <v>Tag</v>
      </c>
      <c r="O17" s="4" t="s">
        <v>14</v>
      </c>
      <c r="P17" s="4"/>
      <c r="Q17" s="4">
        <v>80</v>
      </c>
      <c r="R17" s="6" t="str">
        <f>HYPERLINK("https://www.bioscidb.com/tag/gettag/2595225b-fa1d-486e-9cc7-8a12c40bbd52","Tag")</f>
        <v>Tag</v>
      </c>
      <c r="S17" s="4" t="s">
        <v>14</v>
      </c>
      <c r="T17" s="6" t="str">
        <f>HYPERLINK("https://www.bioscidb.com/tag/gettag/c1859aaa-02d9-4631-a09b-b5bde6fff263","Tag")</f>
        <v>Tag</v>
      </c>
      <c r="U17" s="8"/>
      <c r="V17" s="4"/>
      <c r="W17" s="1" t="s">
        <v>14</v>
      </c>
      <c r="X17" s="1" t="s">
        <v>14</v>
      </c>
      <c r="Y17" s="1" t="s">
        <v>569</v>
      </c>
      <c r="Z17" s="1" t="s">
        <v>405</v>
      </c>
      <c r="AA17" s="1" t="s">
        <v>880</v>
      </c>
    </row>
    <row r="18" spans="1:27" ht="12.75">
      <c r="A18" s="3" t="s">
        <v>865</v>
      </c>
      <c r="B18" s="1" t="s">
        <v>874</v>
      </c>
      <c r="C18" s="1" t="s">
        <v>875</v>
      </c>
      <c r="D18" s="1" t="s">
        <v>25</v>
      </c>
      <c r="E18" s="6" t="str">
        <f>HYPERLINK("https://www.bioscidb.com/browse/deal_bg/14887","Link")</f>
        <v>Link</v>
      </c>
      <c r="F18" s="1" t="s">
        <v>27</v>
      </c>
      <c r="G18" s="16" t="s">
        <v>30</v>
      </c>
      <c r="H18" s="4">
        <v>56.25</v>
      </c>
      <c r="I18" s="4">
        <v>2.5</v>
      </c>
      <c r="J18" s="4" t="s">
        <v>14</v>
      </c>
      <c r="K18" s="20">
        <f>I18/H18</f>
        <v>0.044444444444444446</v>
      </c>
      <c r="L18" s="5" t="s">
        <v>19</v>
      </c>
      <c r="M18" s="4">
        <v>17.5</v>
      </c>
      <c r="N18" s="6" t="str">
        <f>HYPERLINK("https://www.bioscidb.com/tag/gettag/e039b1a3-46ab-4784-95e8-69eee380407c","Tag")</f>
        <v>Tag</v>
      </c>
      <c r="O18" s="4">
        <v>8.75</v>
      </c>
      <c r="P18" s="4"/>
      <c r="Q18" s="4">
        <v>27.5</v>
      </c>
      <c r="R18" s="6" t="str">
        <f>HYPERLINK("https://www.bioscidb.com/tag/gettag/2d18d671-b910-4f07-919e-d3bdc829be11","Tag")</f>
        <v>Tag</v>
      </c>
      <c r="S18" s="4">
        <v>5</v>
      </c>
      <c r="T18" s="4"/>
      <c r="U18" s="8">
        <v>10</v>
      </c>
      <c r="V18" s="6" t="str">
        <f>HYPERLINK("https://www.bioscidb.com/tag/gettag/4f79de64-d4c4-4d6c-87a7-be3caf890638","Tag")</f>
        <v>Tag</v>
      </c>
      <c r="W18" s="1" t="s">
        <v>14</v>
      </c>
      <c r="X18" s="1" t="s">
        <v>14</v>
      </c>
      <c r="Y18" s="1" t="s">
        <v>156</v>
      </c>
      <c r="Z18" s="1" t="s">
        <v>32</v>
      </c>
      <c r="AA18" s="1" t="s">
        <v>876</v>
      </c>
    </row>
    <row r="19" spans="1:27" ht="12.75">
      <c r="A19" s="3" t="s">
        <v>865</v>
      </c>
      <c r="B19" s="1" t="s">
        <v>866</v>
      </c>
      <c r="C19" s="1" t="s">
        <v>609</v>
      </c>
      <c r="D19" s="1" t="s">
        <v>90</v>
      </c>
      <c r="E19" s="6" t="str">
        <f>HYPERLINK("https://www.bioscidb.com/browse/deal_bg/14734","Link")</f>
        <v>Link</v>
      </c>
      <c r="F19" s="1" t="s">
        <v>45</v>
      </c>
      <c r="G19" s="16" t="s">
        <v>867</v>
      </c>
      <c r="H19" s="4">
        <v>1047</v>
      </c>
      <c r="I19" s="4">
        <v>319.3</v>
      </c>
      <c r="J19" s="4" t="s">
        <v>14</v>
      </c>
      <c r="K19" s="20">
        <f>I19/H19</f>
        <v>0.30496657115568293</v>
      </c>
      <c r="L19" s="5" t="s">
        <v>19</v>
      </c>
      <c r="M19" s="4" t="s">
        <v>14</v>
      </c>
      <c r="N19" s="6" t="str">
        <f>HYPERLINK("https://www.bioscidb.com/tag/gettag/c6a61117-b53f-4ae1-a0ec-fc4d9e5e1bab","Tag")</f>
        <v>Tag</v>
      </c>
      <c r="O19" s="4" t="s">
        <v>14</v>
      </c>
      <c r="P19" s="4"/>
      <c r="Q19" s="4" t="s">
        <v>14</v>
      </c>
      <c r="R19" s="4"/>
      <c r="S19" s="4" t="s">
        <v>14</v>
      </c>
      <c r="T19" s="6" t="str">
        <f>HYPERLINK("https://www.bioscidb.com/tag/gettag/45c8ee14-0d96-4efd-b1c6-4871517c4456","Tag")</f>
        <v>Tag</v>
      </c>
      <c r="U19" s="8"/>
      <c r="V19" s="4"/>
      <c r="W19" s="1" t="s">
        <v>14</v>
      </c>
      <c r="X19" s="1" t="s">
        <v>23</v>
      </c>
      <c r="Y19" s="1" t="s">
        <v>317</v>
      </c>
      <c r="Z19" s="1" t="s">
        <v>383</v>
      </c>
      <c r="AA19" s="1" t="s">
        <v>868</v>
      </c>
    </row>
    <row r="20" spans="1:27" ht="12.75">
      <c r="A20" s="3" t="s">
        <v>849</v>
      </c>
      <c r="B20" s="1" t="s">
        <v>850</v>
      </c>
      <c r="C20" s="1" t="s">
        <v>262</v>
      </c>
      <c r="D20" s="1" t="s">
        <v>43</v>
      </c>
      <c r="E20" s="6" t="str">
        <f>HYPERLINK("https://www.bioscidb.com/browse/deal_bg/14667","Link")</f>
        <v>Link</v>
      </c>
      <c r="F20" s="1" t="s">
        <v>69</v>
      </c>
      <c r="G20" s="16" t="s">
        <v>851</v>
      </c>
      <c r="H20" s="4">
        <v>2200</v>
      </c>
      <c r="I20" s="4">
        <v>1050</v>
      </c>
      <c r="J20" s="4" t="s">
        <v>14</v>
      </c>
      <c r="K20" s="20">
        <f>I20/H20</f>
        <v>0.4772727272727273</v>
      </c>
      <c r="L20" s="5" t="s">
        <v>14</v>
      </c>
      <c r="M20" s="4" t="s">
        <v>14</v>
      </c>
      <c r="N20" s="4"/>
      <c r="O20" s="4" t="s">
        <v>14</v>
      </c>
      <c r="P20" s="4"/>
      <c r="Q20" s="4" t="s">
        <v>14</v>
      </c>
      <c r="R20" s="4"/>
      <c r="S20" s="4" t="s">
        <v>14</v>
      </c>
      <c r="T20" s="4"/>
      <c r="U20" s="8"/>
      <c r="V20" s="4"/>
      <c r="W20" s="1" t="s">
        <v>14</v>
      </c>
      <c r="X20" s="1" t="s">
        <v>79</v>
      </c>
      <c r="Y20" s="1" t="s">
        <v>55</v>
      </c>
      <c r="Z20" s="1" t="s">
        <v>22</v>
      </c>
      <c r="AA20" s="1" t="s">
        <v>852</v>
      </c>
    </row>
    <row r="21" spans="1:27" ht="12.75">
      <c r="A21" s="3" t="s">
        <v>849</v>
      </c>
      <c r="B21" s="1" t="s">
        <v>863</v>
      </c>
      <c r="C21" s="1" t="s">
        <v>165</v>
      </c>
      <c r="D21" s="1" t="s">
        <v>131</v>
      </c>
      <c r="E21" s="6" t="str">
        <f>HYPERLINK("https://www.bioscidb.com/browse/deal_bg/14763","Link")</f>
        <v>Link</v>
      </c>
      <c r="F21" s="1" t="s">
        <v>69</v>
      </c>
      <c r="G21" s="16" t="s">
        <v>30</v>
      </c>
      <c r="H21" s="4">
        <v>565</v>
      </c>
      <c r="I21" s="4">
        <v>465</v>
      </c>
      <c r="J21" s="4" t="s">
        <v>14</v>
      </c>
      <c r="K21" s="20">
        <f>I21/H21</f>
        <v>0.8230088495575221</v>
      </c>
      <c r="L21" s="5" t="s">
        <v>14</v>
      </c>
      <c r="M21" s="4" t="s">
        <v>14</v>
      </c>
      <c r="N21" s="4"/>
      <c r="O21" s="4" t="s">
        <v>14</v>
      </c>
      <c r="P21" s="4"/>
      <c r="Q21" s="4">
        <v>100</v>
      </c>
      <c r="R21" s="4"/>
      <c r="S21" s="4" t="s">
        <v>14</v>
      </c>
      <c r="T21" s="4"/>
      <c r="U21" s="8"/>
      <c r="V21" s="4"/>
      <c r="W21" s="1" t="s">
        <v>14</v>
      </c>
      <c r="X21" s="1" t="s">
        <v>14</v>
      </c>
      <c r="Y21" s="1" t="s">
        <v>139</v>
      </c>
      <c r="Z21" s="1" t="s">
        <v>131</v>
      </c>
      <c r="AA21" s="1" t="s">
        <v>864</v>
      </c>
    </row>
    <row r="22" spans="1:27" ht="12.75">
      <c r="A22" s="3" t="s">
        <v>838</v>
      </c>
      <c r="B22" s="1" t="s">
        <v>839</v>
      </c>
      <c r="C22" s="1" t="s">
        <v>840</v>
      </c>
      <c r="D22" s="17" t="s">
        <v>33</v>
      </c>
      <c r="E22" s="6" t="str">
        <f>HYPERLINK("https://www.bioscidb.com/browse/deal_bg/14554","Link")</f>
        <v>Link</v>
      </c>
      <c r="F22" s="1" t="s">
        <v>27</v>
      </c>
      <c r="G22" s="16" t="s">
        <v>482</v>
      </c>
      <c r="H22" s="4">
        <v>245</v>
      </c>
      <c r="I22" s="4" t="s">
        <v>14</v>
      </c>
      <c r="J22" s="4">
        <v>232.75</v>
      </c>
      <c r="K22" s="20">
        <f>J22/H22</f>
        <v>0.95</v>
      </c>
      <c r="L22" s="5" t="s">
        <v>19</v>
      </c>
      <c r="M22" s="4" t="s">
        <v>14</v>
      </c>
      <c r="N22" s="4"/>
      <c r="O22" s="4" t="s">
        <v>14</v>
      </c>
      <c r="P22" s="4"/>
      <c r="Q22" s="4">
        <v>12.25</v>
      </c>
      <c r="R22" s="6" t="str">
        <f>HYPERLINK("https://www.bioscidb.com/tag/gettag/e88e345e-b1d3-421a-bad2-03cedcf7e4f6","Tag")</f>
        <v>Tag</v>
      </c>
      <c r="S22" s="4" t="s">
        <v>14</v>
      </c>
      <c r="T22" s="6" t="str">
        <f>HYPERLINK("https://www.bioscidb.com/tag/gettag/a4270193-e205-403c-885a-330b15f891f1","Tag")</f>
        <v>Tag</v>
      </c>
      <c r="U22" s="9">
        <v>2.6</v>
      </c>
      <c r="V22" s="6" t="str">
        <f>HYPERLINK("https://www.bioscidb.com/tag/gettag/542e3bb3-0d65-4791-bbab-7bfd23cd56ea","Tag")</f>
        <v>Tag</v>
      </c>
      <c r="W22" s="1" t="s">
        <v>211</v>
      </c>
      <c r="X22" s="1" t="s">
        <v>211</v>
      </c>
      <c r="Y22" s="1" t="s">
        <v>317</v>
      </c>
      <c r="Z22" s="1" t="s">
        <v>14</v>
      </c>
      <c r="AA22" s="1" t="s">
        <v>841</v>
      </c>
    </row>
    <row r="23" spans="1:27" ht="12.75">
      <c r="A23" s="3" t="s">
        <v>838</v>
      </c>
      <c r="B23" s="1" t="s">
        <v>845</v>
      </c>
      <c r="C23" s="1" t="s">
        <v>846</v>
      </c>
      <c r="D23" s="1" t="s">
        <v>280</v>
      </c>
      <c r="E23" s="6" t="str">
        <f>HYPERLINK("https://www.bioscidb.com/browse/deal_bg/14569","Link")</f>
        <v>Link</v>
      </c>
      <c r="F23" s="1" t="s">
        <v>45</v>
      </c>
      <c r="G23" s="16" t="s">
        <v>847</v>
      </c>
      <c r="H23" s="4">
        <v>120</v>
      </c>
      <c r="I23" s="4">
        <v>50</v>
      </c>
      <c r="J23" s="4" t="s">
        <v>14</v>
      </c>
      <c r="K23" s="20">
        <f>I23/H23</f>
        <v>0.4166666666666667</v>
      </c>
      <c r="L23" s="5" t="s">
        <v>14</v>
      </c>
      <c r="M23" s="4">
        <v>20</v>
      </c>
      <c r="N23" s="4"/>
      <c r="O23" s="4" t="s">
        <v>14</v>
      </c>
      <c r="P23" s="4"/>
      <c r="Q23" s="4">
        <v>50</v>
      </c>
      <c r="R23" s="4"/>
      <c r="S23" s="4" t="s">
        <v>14</v>
      </c>
      <c r="T23" s="4"/>
      <c r="U23" s="8"/>
      <c r="V23" s="4"/>
      <c r="W23" s="1" t="s">
        <v>14</v>
      </c>
      <c r="X23" s="1" t="s">
        <v>14</v>
      </c>
      <c r="Y23" s="1" t="s">
        <v>14</v>
      </c>
      <c r="Z23" s="1" t="s">
        <v>286</v>
      </c>
      <c r="AA23" s="1" t="s">
        <v>848</v>
      </c>
    </row>
    <row r="24" spans="1:27" ht="12.75">
      <c r="A24" s="3" t="s">
        <v>838</v>
      </c>
      <c r="B24" s="1" t="s">
        <v>860</v>
      </c>
      <c r="C24" s="1" t="s">
        <v>861</v>
      </c>
      <c r="D24" s="1" t="s">
        <v>43</v>
      </c>
      <c r="E24" s="6" t="str">
        <f>HYPERLINK("https://www.bioscidb.com/browse/deal_bg/15595","Link")</f>
        <v>Link</v>
      </c>
      <c r="F24" s="1" t="s">
        <v>27</v>
      </c>
      <c r="G24" s="16" t="s">
        <v>734</v>
      </c>
      <c r="H24" s="4">
        <v>3.7</v>
      </c>
      <c r="I24" s="4" t="s">
        <v>14</v>
      </c>
      <c r="J24" s="4">
        <v>3.7</v>
      </c>
      <c r="K24" s="20"/>
      <c r="L24" s="5" t="s">
        <v>14</v>
      </c>
      <c r="M24" s="4" t="s">
        <v>14</v>
      </c>
      <c r="N24" s="4"/>
      <c r="O24" s="4" t="s">
        <v>14</v>
      </c>
      <c r="P24" s="4"/>
      <c r="Q24" s="4" t="s">
        <v>14</v>
      </c>
      <c r="R24" s="4"/>
      <c r="S24" s="4" t="s">
        <v>14</v>
      </c>
      <c r="T24" s="4"/>
      <c r="U24" s="8"/>
      <c r="V24" s="4"/>
      <c r="W24" s="1" t="s">
        <v>14</v>
      </c>
      <c r="X24" s="1" t="s">
        <v>14</v>
      </c>
      <c r="Y24" s="1" t="s">
        <v>55</v>
      </c>
      <c r="Z24" s="1" t="s">
        <v>383</v>
      </c>
      <c r="AA24" s="1" t="s">
        <v>862</v>
      </c>
    </row>
    <row r="25" spans="1:27" ht="12.75">
      <c r="A25" s="3" t="s">
        <v>790</v>
      </c>
      <c r="B25" s="1" t="s">
        <v>820</v>
      </c>
      <c r="C25" s="1" t="s">
        <v>821</v>
      </c>
      <c r="D25" s="1" t="s">
        <v>280</v>
      </c>
      <c r="E25" s="6" t="str">
        <f>HYPERLINK("https://www.bioscidb.com/browse/deal_bg/14434","Link")</f>
        <v>Link</v>
      </c>
      <c r="F25" s="1" t="s">
        <v>69</v>
      </c>
      <c r="G25" s="16" t="s">
        <v>30</v>
      </c>
      <c r="H25" s="4">
        <v>20.3</v>
      </c>
      <c r="I25" s="4">
        <v>10.3</v>
      </c>
      <c r="J25" s="4" t="s">
        <v>14</v>
      </c>
      <c r="K25" s="20">
        <f>I25/H25</f>
        <v>0.5073891625615764</v>
      </c>
      <c r="L25" s="5" t="s">
        <v>14</v>
      </c>
      <c r="M25" s="4" t="s">
        <v>14</v>
      </c>
      <c r="N25" s="4"/>
      <c r="O25" s="4" t="s">
        <v>14</v>
      </c>
      <c r="P25" s="4"/>
      <c r="Q25" s="4">
        <v>10</v>
      </c>
      <c r="R25" s="4"/>
      <c r="S25" s="4" t="s">
        <v>14</v>
      </c>
      <c r="T25" s="4"/>
      <c r="U25" s="8"/>
      <c r="V25" s="4"/>
      <c r="W25" s="1" t="s">
        <v>14</v>
      </c>
      <c r="X25" s="1" t="s">
        <v>211</v>
      </c>
      <c r="Y25" s="1" t="s">
        <v>55</v>
      </c>
      <c r="Z25" s="1" t="s">
        <v>286</v>
      </c>
      <c r="AA25" s="1" t="s">
        <v>822</v>
      </c>
    </row>
    <row r="26" spans="1:27" ht="12.75">
      <c r="A26" s="3" t="s">
        <v>790</v>
      </c>
      <c r="B26" s="1" t="s">
        <v>802</v>
      </c>
      <c r="C26" s="1" t="s">
        <v>803</v>
      </c>
      <c r="D26" s="17" t="s">
        <v>67</v>
      </c>
      <c r="E26" s="6" t="str">
        <f>HYPERLINK("https://www.bioscidb.com/browse/deal_bg/14324","Link")</f>
        <v>Link</v>
      </c>
      <c r="F26" s="1" t="s">
        <v>27</v>
      </c>
      <c r="G26" s="16" t="s">
        <v>206</v>
      </c>
      <c r="H26" s="4">
        <v>29</v>
      </c>
      <c r="I26" s="4" t="s">
        <v>14</v>
      </c>
      <c r="J26" s="4">
        <v>29</v>
      </c>
      <c r="K26" s="20"/>
      <c r="L26" s="5" t="s">
        <v>14</v>
      </c>
      <c r="M26" s="4" t="s">
        <v>14</v>
      </c>
      <c r="N26" s="4"/>
      <c r="O26" s="4" t="s">
        <v>14</v>
      </c>
      <c r="P26" s="4"/>
      <c r="Q26" s="4" t="s">
        <v>14</v>
      </c>
      <c r="R26" s="4"/>
      <c r="S26" s="4">
        <v>10</v>
      </c>
      <c r="T26" s="4"/>
      <c r="U26" s="8"/>
      <c r="V26" s="4"/>
      <c r="W26" s="1" t="s">
        <v>14</v>
      </c>
      <c r="X26" s="1" t="s">
        <v>14</v>
      </c>
      <c r="Y26" s="1" t="s">
        <v>55</v>
      </c>
      <c r="Z26" s="1" t="s">
        <v>805</v>
      </c>
      <c r="AA26" s="1" t="s">
        <v>804</v>
      </c>
    </row>
    <row r="27" spans="1:27" ht="12.75">
      <c r="A27" s="3" t="s">
        <v>790</v>
      </c>
      <c r="B27" s="1" t="s">
        <v>791</v>
      </c>
      <c r="C27" s="1" t="s">
        <v>792</v>
      </c>
      <c r="D27" s="1" t="s">
        <v>131</v>
      </c>
      <c r="E27" s="6" t="str">
        <f>HYPERLINK("https://www.bioscidb.com/browse/deal_bg/14310","Link")</f>
        <v>Link</v>
      </c>
      <c r="F27" s="1" t="s">
        <v>45</v>
      </c>
      <c r="G27" s="16" t="s">
        <v>30</v>
      </c>
      <c r="H27" s="4">
        <v>220</v>
      </c>
      <c r="I27" s="4">
        <v>120</v>
      </c>
      <c r="J27" s="4" t="s">
        <v>14</v>
      </c>
      <c r="K27" s="20">
        <f>I27/H27</f>
        <v>0.5454545454545454</v>
      </c>
      <c r="L27" s="5" t="s">
        <v>19</v>
      </c>
      <c r="M27" s="4" t="s">
        <v>14</v>
      </c>
      <c r="N27" s="4"/>
      <c r="O27" s="4" t="s">
        <v>14</v>
      </c>
      <c r="P27" s="4"/>
      <c r="Q27" s="4" t="s">
        <v>14</v>
      </c>
      <c r="R27" s="4"/>
      <c r="S27" s="4" t="s">
        <v>14</v>
      </c>
      <c r="T27" s="6" t="str">
        <f>HYPERLINK("https://www.bioscidb.com/tag/gettag/7d9dab0b-ef43-4b1a-8643-5ec111330b56","Tag")</f>
        <v>Tag</v>
      </c>
      <c r="U27" s="9">
        <v>4.8</v>
      </c>
      <c r="V27" s="6" t="str">
        <f>HYPERLINK("https://www.bioscidb.com/tag/gettag/30ad26fa-5316-4aef-b075-67f82ce8d6e0","Tag")</f>
        <v>Tag</v>
      </c>
      <c r="W27" s="1" t="s">
        <v>14</v>
      </c>
      <c r="X27" s="1" t="s">
        <v>14</v>
      </c>
      <c r="Y27" s="1" t="s">
        <v>139</v>
      </c>
      <c r="Z27" s="1" t="s">
        <v>131</v>
      </c>
      <c r="AA27" s="1" t="s">
        <v>793</v>
      </c>
    </row>
    <row r="28" spans="1:27" ht="12.75">
      <c r="A28" s="3" t="s">
        <v>757</v>
      </c>
      <c r="B28" s="1" t="s">
        <v>770</v>
      </c>
      <c r="C28" s="1" t="s">
        <v>145</v>
      </c>
      <c r="D28" s="17" t="s">
        <v>50</v>
      </c>
      <c r="E28" s="6" t="str">
        <f>HYPERLINK("https://www.bioscidb.com/browse/deal_bg/14313","Link")</f>
        <v>Link</v>
      </c>
      <c r="F28" s="1" t="s">
        <v>27</v>
      </c>
      <c r="G28" s="16" t="s">
        <v>771</v>
      </c>
      <c r="H28" s="4">
        <v>1267</v>
      </c>
      <c r="I28" s="4">
        <v>1004</v>
      </c>
      <c r="J28" s="4" t="s">
        <v>14</v>
      </c>
      <c r="K28" s="20">
        <f>I28/H28</f>
        <v>0.7924230465666929</v>
      </c>
      <c r="L28" s="5" t="s">
        <v>19</v>
      </c>
      <c r="M28" s="4">
        <v>263</v>
      </c>
      <c r="N28" s="6" t="str">
        <f>HYPERLINK("https://www.bioscidb.com/tag/gettag/e8ef6587-b1c7-4fd0-934a-18b4a2d7d222","Tag")</f>
        <v>Tag</v>
      </c>
      <c r="O28" s="4" t="s">
        <v>14</v>
      </c>
      <c r="P28" s="6" t="str">
        <f>HYPERLINK("https://www.bioscidb.com/tag/gettag/e8ef6587-b1c7-4fd0-934a-18b4a2d7d222","Tag")</f>
        <v>Tag</v>
      </c>
      <c r="Q28" s="4" t="s">
        <v>14</v>
      </c>
      <c r="R28" s="4"/>
      <c r="S28" s="4" t="s">
        <v>14</v>
      </c>
      <c r="T28" s="6" t="str">
        <f>HYPERLINK("https://www.bioscidb.com/tag/gettag/48f87a3c-a526-4c44-a628-f9bc8a9bfa7f","Tag")</f>
        <v>Tag</v>
      </c>
      <c r="U28" s="9">
        <v>6</v>
      </c>
      <c r="V28" s="6" t="str">
        <f>HYPERLINK("https://www.bioscidb.com/tag/gettag/cab578ad-40b2-4198-96d9-2872d80e8a64","Tag")</f>
        <v>Tag</v>
      </c>
      <c r="W28" s="1" t="s">
        <v>211</v>
      </c>
      <c r="X28" s="1" t="s">
        <v>66</v>
      </c>
      <c r="Y28" s="1" t="s">
        <v>189</v>
      </c>
      <c r="Z28" s="1" t="s">
        <v>22</v>
      </c>
      <c r="AA28" s="1" t="s">
        <v>772</v>
      </c>
    </row>
    <row r="29" spans="1:27" ht="12.75">
      <c r="A29" s="3" t="s">
        <v>757</v>
      </c>
      <c r="B29" s="1" t="s">
        <v>818</v>
      </c>
      <c r="C29" s="1" t="s">
        <v>815</v>
      </c>
      <c r="D29" s="17" t="s">
        <v>33</v>
      </c>
      <c r="E29" s="6" t="str">
        <f>HYPERLINK("https://www.bioscidb.com/browse/deal_bg/14421","Link")</f>
        <v>Link</v>
      </c>
      <c r="F29" s="1" t="s">
        <v>27</v>
      </c>
      <c r="G29" s="16" t="s">
        <v>100</v>
      </c>
      <c r="H29" s="4">
        <v>319</v>
      </c>
      <c r="I29" s="4">
        <v>282</v>
      </c>
      <c r="J29" s="4" t="s">
        <v>14</v>
      </c>
      <c r="K29" s="20">
        <f>I29/H29</f>
        <v>0.8840125391849529</v>
      </c>
      <c r="L29" s="5" t="s">
        <v>19</v>
      </c>
      <c r="M29" s="4" t="s">
        <v>14</v>
      </c>
      <c r="N29" s="4"/>
      <c r="O29" s="4" t="s">
        <v>14</v>
      </c>
      <c r="P29" s="4"/>
      <c r="Q29" s="4">
        <v>37</v>
      </c>
      <c r="R29" s="6" t="str">
        <f>HYPERLINK("https://www.bioscidb.com/tag/gettag/62f8983c-d6cc-4923-84d9-07d651ecafdb","Tag")</f>
        <v>Tag</v>
      </c>
      <c r="S29" s="4" t="s">
        <v>14</v>
      </c>
      <c r="T29" s="6" t="str">
        <f>HYPERLINK("https://www.bioscidb.com/tag/gettag/f46a0e4c-40cc-4419-a99e-49e46c91fe06","Tag")</f>
        <v>Tag</v>
      </c>
      <c r="U29" s="9">
        <v>1</v>
      </c>
      <c r="V29" s="6" t="str">
        <f>HYPERLINK("https://www.bioscidb.com/tag/gettag/9d463e0a-fdd4-43f0-bfdd-3a5d3fa879d6","Tag")</f>
        <v>Tag</v>
      </c>
      <c r="W29" s="1" t="s">
        <v>14</v>
      </c>
      <c r="X29" s="1" t="s">
        <v>211</v>
      </c>
      <c r="Y29" s="1" t="s">
        <v>14</v>
      </c>
      <c r="Z29" s="1" t="s">
        <v>14</v>
      </c>
      <c r="AA29" s="1" t="s">
        <v>819</v>
      </c>
    </row>
    <row r="30" spans="1:27" ht="12.75">
      <c r="A30" s="3" t="s">
        <v>757</v>
      </c>
      <c r="B30" s="1" t="s">
        <v>814</v>
      </c>
      <c r="C30" s="1" t="s">
        <v>815</v>
      </c>
      <c r="D30" s="17" t="s">
        <v>33</v>
      </c>
      <c r="E30" s="6" t="str">
        <f>HYPERLINK("https://www.bioscidb.com/browse/deal_bg/14141","Link")</f>
        <v>Link</v>
      </c>
      <c r="F30" s="1" t="s">
        <v>27</v>
      </c>
      <c r="G30" s="16" t="s">
        <v>100</v>
      </c>
      <c r="H30" s="4">
        <v>53.4</v>
      </c>
      <c r="I30" s="4">
        <v>26.7</v>
      </c>
      <c r="J30" s="4" t="s">
        <v>14</v>
      </c>
      <c r="K30" s="20">
        <f>I30/H30</f>
        <v>0.5</v>
      </c>
      <c r="L30" s="5" t="s">
        <v>14</v>
      </c>
      <c r="M30" s="4" t="s">
        <v>14</v>
      </c>
      <c r="N30" s="4"/>
      <c r="O30" s="4">
        <v>26.7</v>
      </c>
      <c r="P30" s="4"/>
      <c r="Q30" s="4" t="s">
        <v>14</v>
      </c>
      <c r="R30" s="4"/>
      <c r="S30" s="4" t="s">
        <v>14</v>
      </c>
      <c r="T30" s="4"/>
      <c r="U30" s="8"/>
      <c r="V30" s="4"/>
      <c r="W30" s="1" t="s">
        <v>14</v>
      </c>
      <c r="X30" s="1" t="s">
        <v>211</v>
      </c>
      <c r="Y30" s="1" t="s">
        <v>14</v>
      </c>
      <c r="Z30" s="1" t="s">
        <v>817</v>
      </c>
      <c r="AA30" s="1" t="s">
        <v>816</v>
      </c>
    </row>
    <row r="31" spans="1:27" ht="12.75">
      <c r="A31" s="3" t="s">
        <v>762</v>
      </c>
      <c r="B31" s="1" t="s">
        <v>71</v>
      </c>
      <c r="C31" s="1" t="s">
        <v>361</v>
      </c>
      <c r="D31" s="1" t="s">
        <v>56</v>
      </c>
      <c r="E31" s="6" t="str">
        <f>HYPERLINK("https://www.bioscidb.com/browse/deal_bg/14011","Link")</f>
        <v>Link</v>
      </c>
      <c r="F31" s="1" t="s">
        <v>27</v>
      </c>
      <c r="G31" s="16" t="s">
        <v>767</v>
      </c>
      <c r="H31" s="4">
        <v>96300</v>
      </c>
      <c r="I31" s="4">
        <v>74000</v>
      </c>
      <c r="J31" s="4">
        <v>16000</v>
      </c>
      <c r="K31" s="20">
        <f>(I31+J31)/H31</f>
        <v>0.9345794392523364</v>
      </c>
      <c r="L31" s="5" t="s">
        <v>19</v>
      </c>
      <c r="M31" s="4" t="s">
        <v>14</v>
      </c>
      <c r="N31" s="4"/>
      <c r="O31" s="4">
        <v>6300</v>
      </c>
      <c r="P31" s="6" t="str">
        <f>HYPERLINK("https://www.bioscidb.com/tag/gettag/4ac18936-7a24-4960-bcfd-6d8c0549cf2d","Tag")</f>
        <v>Tag</v>
      </c>
      <c r="Q31" s="4" t="s">
        <v>14</v>
      </c>
      <c r="R31" s="4"/>
      <c r="S31" s="4" t="s">
        <v>14</v>
      </c>
      <c r="T31" s="6" t="str">
        <f>HYPERLINK("https://www.bioscidb.com/tag/gettag/130693cb-ff23-4d53-a9df-7404ea7c1235","Tag")</f>
        <v>Tag</v>
      </c>
      <c r="U31" s="9">
        <v>2.2</v>
      </c>
      <c r="V31" s="6" t="str">
        <f>HYPERLINK("https://www.bioscidb.com/tag/gettag/9a170162-ac2e-43a2-9634-83bd9dec104b","Tag")</f>
        <v>Tag</v>
      </c>
      <c r="W31" s="1" t="s">
        <v>23</v>
      </c>
      <c r="X31" s="1" t="s">
        <v>79</v>
      </c>
      <c r="Y31" s="1" t="s">
        <v>769</v>
      </c>
      <c r="Z31" s="1" t="s">
        <v>14</v>
      </c>
      <c r="AA31" s="1" t="s">
        <v>768</v>
      </c>
    </row>
    <row r="32" spans="1:27" ht="12.75">
      <c r="A32" s="3" t="s">
        <v>762</v>
      </c>
      <c r="B32" s="1" t="s">
        <v>842</v>
      </c>
      <c r="C32" s="1" t="s">
        <v>47</v>
      </c>
      <c r="D32" s="17" t="s">
        <v>67</v>
      </c>
      <c r="E32" s="6" t="str">
        <f>HYPERLINK("https://www.bioscidb.com/browse/deal_bg/14200","Link")</f>
        <v>Link</v>
      </c>
      <c r="F32" s="1" t="s">
        <v>45</v>
      </c>
      <c r="G32" s="16" t="s">
        <v>843</v>
      </c>
      <c r="H32" s="4">
        <v>560</v>
      </c>
      <c r="I32" s="4" t="s">
        <v>14</v>
      </c>
      <c r="J32" s="4">
        <v>30</v>
      </c>
      <c r="K32" s="20">
        <f>J32/H32</f>
        <v>0.05357142857142857</v>
      </c>
      <c r="L32" s="5" t="s">
        <v>19</v>
      </c>
      <c r="M32" s="4">
        <v>30</v>
      </c>
      <c r="N32" s="6" t="str">
        <f>HYPERLINK("https://www.bioscidb.com/tag/gettag/5a5419fc-7c75-4253-aebd-351499ff0b12","Tag")</f>
        <v>Tag</v>
      </c>
      <c r="O32" s="4">
        <v>250</v>
      </c>
      <c r="P32" s="6" t="str">
        <f>HYPERLINK("https://www.bioscidb.com/tag/gettag/a8b5b50b-5f48-44a1-a198-521591993686","Tag")</f>
        <v>Tag</v>
      </c>
      <c r="Q32" s="4">
        <v>250</v>
      </c>
      <c r="R32" s="6" t="str">
        <f>HYPERLINK("https://www.bioscidb.com/tag/gettag/65172dea-f553-4d82-aa2a-5ab3a517c33c","Tag")</f>
        <v>Tag</v>
      </c>
      <c r="S32" s="4" t="s">
        <v>14</v>
      </c>
      <c r="T32" s="6" t="str">
        <f>HYPERLINK("https://www.bioscidb.com/tag/gettag/cd5a854d-5f8d-4b85-ad22-e0eade24368d","Tag")</f>
        <v>Tag</v>
      </c>
      <c r="U32" s="8"/>
      <c r="V32" s="4"/>
      <c r="W32" s="1" t="s">
        <v>14</v>
      </c>
      <c r="X32" s="1" t="s">
        <v>23</v>
      </c>
      <c r="Y32" s="1" t="s">
        <v>123</v>
      </c>
      <c r="Z32" s="1" t="s">
        <v>84</v>
      </c>
      <c r="AA32" s="1" t="s">
        <v>844</v>
      </c>
    </row>
    <row r="33" spans="1:27" ht="12.75">
      <c r="A33" s="3" t="s">
        <v>762</v>
      </c>
      <c r="B33" s="1" t="s">
        <v>780</v>
      </c>
      <c r="C33" s="1" t="s">
        <v>781</v>
      </c>
      <c r="D33" s="17" t="s">
        <v>43</v>
      </c>
      <c r="E33" s="6" t="str">
        <f>HYPERLINK("https://www.bioscidb.com/browse/deal_bg/14188","Link")</f>
        <v>Link</v>
      </c>
      <c r="F33" s="1" t="s">
        <v>27</v>
      </c>
      <c r="G33" s="16" t="s">
        <v>206</v>
      </c>
      <c r="H33" s="4">
        <v>25</v>
      </c>
      <c r="I33" s="4">
        <v>10</v>
      </c>
      <c r="J33" s="4" t="s">
        <v>14</v>
      </c>
      <c r="K33" s="20">
        <f>I33/H33</f>
        <v>0.4</v>
      </c>
      <c r="L33" s="5" t="s">
        <v>14</v>
      </c>
      <c r="M33" s="4">
        <v>15</v>
      </c>
      <c r="N33" s="4"/>
      <c r="O33" s="4" t="s">
        <v>14</v>
      </c>
      <c r="P33" s="4"/>
      <c r="Q33" s="4" t="s">
        <v>14</v>
      </c>
      <c r="R33" s="4"/>
      <c r="S33" s="4" t="s">
        <v>14</v>
      </c>
      <c r="T33" s="4"/>
      <c r="U33" s="8"/>
      <c r="V33" s="4"/>
      <c r="W33" s="1" t="s">
        <v>14</v>
      </c>
      <c r="X33" s="1" t="s">
        <v>211</v>
      </c>
      <c r="Y33" s="1" t="s">
        <v>156</v>
      </c>
      <c r="Z33" s="1" t="s">
        <v>22</v>
      </c>
      <c r="AA33" s="1" t="s">
        <v>14</v>
      </c>
    </row>
    <row r="34" spans="1:27" ht="12.75">
      <c r="A34" s="3" t="s">
        <v>762</v>
      </c>
      <c r="B34" s="1" t="s">
        <v>920</v>
      </c>
      <c r="C34" s="1" t="s">
        <v>760</v>
      </c>
      <c r="D34" s="17" t="s">
        <v>131</v>
      </c>
      <c r="E34" s="6" t="str">
        <f>HYPERLINK("https://www.bioscidb.com/browse/deal_bg/14087","Link")</f>
        <v>Link</v>
      </c>
      <c r="F34" s="1" t="s">
        <v>27</v>
      </c>
      <c r="G34" s="16" t="s">
        <v>206</v>
      </c>
      <c r="H34" s="4">
        <v>1.5</v>
      </c>
      <c r="I34" s="4" t="s">
        <v>14</v>
      </c>
      <c r="J34" s="4">
        <v>1</v>
      </c>
      <c r="K34" s="20">
        <f>J34/H34</f>
        <v>0.6666666666666666</v>
      </c>
      <c r="L34" s="5" t="s">
        <v>14</v>
      </c>
      <c r="M34" s="4" t="s">
        <v>14</v>
      </c>
      <c r="N34" s="4"/>
      <c r="O34" s="4" t="s">
        <v>14</v>
      </c>
      <c r="P34" s="4"/>
      <c r="Q34" s="4">
        <v>0.5</v>
      </c>
      <c r="R34" s="4"/>
      <c r="S34" s="4" t="s">
        <v>14</v>
      </c>
      <c r="T34" s="4"/>
      <c r="U34" s="8"/>
      <c r="V34" s="4"/>
      <c r="W34" s="1" t="s">
        <v>14</v>
      </c>
      <c r="X34" s="1" t="s">
        <v>14</v>
      </c>
      <c r="Y34" s="1" t="s">
        <v>14</v>
      </c>
      <c r="Z34" s="1" t="s">
        <v>14</v>
      </c>
      <c r="AA34" s="1" t="s">
        <v>14</v>
      </c>
    </row>
    <row r="35" spans="1:27" ht="12.75">
      <c r="A35" s="3" t="s">
        <v>762</v>
      </c>
      <c r="B35" s="1" t="s">
        <v>919</v>
      </c>
      <c r="C35" s="1" t="s">
        <v>760</v>
      </c>
      <c r="D35" s="1" t="s">
        <v>131</v>
      </c>
      <c r="E35" s="6" t="str">
        <f>HYPERLINK("https://www.bioscidb.com/browse/deal_bg/14077","Link")</f>
        <v>Link</v>
      </c>
      <c r="F35" s="1" t="s">
        <v>27</v>
      </c>
      <c r="G35" s="16" t="s">
        <v>206</v>
      </c>
      <c r="H35" s="4">
        <v>2.1</v>
      </c>
      <c r="I35" s="4" t="s">
        <v>14</v>
      </c>
      <c r="J35" s="4">
        <v>1.4</v>
      </c>
      <c r="K35" s="20">
        <f>J35/H35</f>
        <v>0.6666666666666666</v>
      </c>
      <c r="L35" s="5" t="s">
        <v>14</v>
      </c>
      <c r="M35" s="4" t="s">
        <v>14</v>
      </c>
      <c r="N35" s="4"/>
      <c r="O35" s="4" t="s">
        <v>14</v>
      </c>
      <c r="P35" s="4"/>
      <c r="Q35" s="4">
        <v>0.7</v>
      </c>
      <c r="R35" s="4"/>
      <c r="S35" s="4" t="s">
        <v>14</v>
      </c>
      <c r="T35" s="4"/>
      <c r="U35" s="8"/>
      <c r="V35" s="4"/>
      <c r="W35" s="1" t="s">
        <v>14</v>
      </c>
      <c r="X35" s="1" t="s">
        <v>14</v>
      </c>
      <c r="Y35" s="1" t="s">
        <v>189</v>
      </c>
      <c r="Z35" s="1" t="s">
        <v>131</v>
      </c>
      <c r="AA35" s="1" t="s">
        <v>14</v>
      </c>
    </row>
    <row r="36" spans="1:27" ht="25.5">
      <c r="A36" s="3" t="s">
        <v>762</v>
      </c>
      <c r="B36" s="1" t="s">
        <v>170</v>
      </c>
      <c r="C36" s="1" t="s">
        <v>776</v>
      </c>
      <c r="D36" s="1" t="s">
        <v>56</v>
      </c>
      <c r="E36" s="6" t="str">
        <f>HYPERLINK("https://www.bioscidb.com/browse/deal_bg/14120","Link")</f>
        <v>Link</v>
      </c>
      <c r="F36" s="1" t="s">
        <v>27</v>
      </c>
      <c r="G36" s="16" t="s">
        <v>777</v>
      </c>
      <c r="H36" s="4">
        <v>300</v>
      </c>
      <c r="I36" s="4">
        <v>160</v>
      </c>
      <c r="J36" s="4" t="s">
        <v>14</v>
      </c>
      <c r="K36" s="20">
        <f>I36/H36</f>
        <v>0.5333333333333333</v>
      </c>
      <c r="L36" s="5" t="s">
        <v>19</v>
      </c>
      <c r="M36" s="4" t="s">
        <v>14</v>
      </c>
      <c r="N36" s="4"/>
      <c r="O36" s="4">
        <v>40</v>
      </c>
      <c r="P36" s="6" t="str">
        <f>HYPERLINK("https://www.bioscidb.com/tag/gettag/dea95cd0-bfbd-4607-aad7-4dce6b53e36a","Tag")</f>
        <v>Tag</v>
      </c>
      <c r="Q36" s="4">
        <v>100</v>
      </c>
      <c r="R36" s="6" t="str">
        <f>HYPERLINK("https://www.bioscidb.com/tag/gettag/ccaac36e-a075-47fc-856c-365749eaf34a","Tag")</f>
        <v>Tag</v>
      </c>
      <c r="S36" s="4" t="s">
        <v>14</v>
      </c>
      <c r="T36" s="4"/>
      <c r="U36" s="8">
        <v>5</v>
      </c>
      <c r="V36" s="6" t="str">
        <f>HYPERLINK("https://www.bioscidb.com/tag/gettag/39ad21d8-9fd1-4780-b739-318c314908ba","Tag")</f>
        <v>Tag</v>
      </c>
      <c r="W36" s="1" t="s">
        <v>14</v>
      </c>
      <c r="X36" s="1" t="s">
        <v>14</v>
      </c>
      <c r="Y36" s="1" t="s">
        <v>55</v>
      </c>
      <c r="Z36" s="1" t="s">
        <v>22</v>
      </c>
      <c r="AA36" s="1" t="s">
        <v>14</v>
      </c>
    </row>
    <row r="37" spans="1:27" ht="12.75">
      <c r="A37" s="3" t="s">
        <v>773</v>
      </c>
      <c r="B37" s="1" t="s">
        <v>784</v>
      </c>
      <c r="C37" s="1" t="s">
        <v>785</v>
      </c>
      <c r="D37" s="1" t="s">
        <v>67</v>
      </c>
      <c r="E37" s="6" t="str">
        <f>HYPERLINK("https://www.bioscidb.com/browse/deal_bg/14351","Link")</f>
        <v>Link</v>
      </c>
      <c r="F37" s="1" t="s">
        <v>27</v>
      </c>
      <c r="G37" s="16" t="s">
        <v>786</v>
      </c>
      <c r="H37" s="4">
        <v>137.4</v>
      </c>
      <c r="I37" s="4" t="s">
        <v>14</v>
      </c>
      <c r="J37" s="4">
        <v>57.4</v>
      </c>
      <c r="K37" s="20">
        <f>J37/H37</f>
        <v>0.4177583697234352</v>
      </c>
      <c r="L37" s="5" t="s">
        <v>19</v>
      </c>
      <c r="M37" s="4" t="s">
        <v>14</v>
      </c>
      <c r="N37" s="4"/>
      <c r="O37" s="4">
        <v>80</v>
      </c>
      <c r="P37" s="6" t="str">
        <f>HYPERLINK("https://www.bioscidb.com/tag/gettag/e27be2b7-7700-4f97-8343-bcd51a629efd","Tag")</f>
        <v>Tag</v>
      </c>
      <c r="Q37" s="4" t="s">
        <v>14</v>
      </c>
      <c r="R37" s="4"/>
      <c r="S37" s="4" t="s">
        <v>14</v>
      </c>
      <c r="T37" s="6" t="str">
        <f>HYPERLINK("https://www.bioscidb.com/tag/gettag/5a1fdf4e-f564-4058-bcaf-670d3ad98c7c","Tag")</f>
        <v>Tag</v>
      </c>
      <c r="U37" s="8">
        <v>5</v>
      </c>
      <c r="V37" s="6" t="str">
        <f>HYPERLINK("https://www.bioscidb.com/tag/gettag/5e02106d-8a5e-4799-882b-067b826ac476","Tag")</f>
        <v>Tag</v>
      </c>
      <c r="W37" s="1" t="s">
        <v>211</v>
      </c>
      <c r="X37" s="1" t="s">
        <v>14</v>
      </c>
      <c r="Y37" s="1" t="s">
        <v>55</v>
      </c>
      <c r="Z37" s="1" t="s">
        <v>14</v>
      </c>
      <c r="AA37" s="1" t="s">
        <v>787</v>
      </c>
    </row>
    <row r="38" spans="1:27" ht="12.75">
      <c r="A38" s="3" t="s">
        <v>773</v>
      </c>
      <c r="B38" s="1" t="s">
        <v>774</v>
      </c>
      <c r="C38" s="1" t="s">
        <v>376</v>
      </c>
      <c r="D38" s="1" t="s">
        <v>43</v>
      </c>
      <c r="E38" s="6" t="str">
        <f>HYPERLINK("https://www.bioscidb.com/browse/deal_bg/13946","Link")</f>
        <v>Link</v>
      </c>
      <c r="F38" s="1" t="s">
        <v>27</v>
      </c>
      <c r="G38" s="16" t="s">
        <v>30</v>
      </c>
      <c r="H38" s="4">
        <v>415</v>
      </c>
      <c r="I38" s="4">
        <v>50</v>
      </c>
      <c r="J38" s="4" t="s">
        <v>14</v>
      </c>
      <c r="K38" s="20">
        <f>I38/H38</f>
        <v>0.12048192771084337</v>
      </c>
      <c r="L38" s="5" t="s">
        <v>19</v>
      </c>
      <c r="M38" s="4">
        <v>140</v>
      </c>
      <c r="N38" s="6" t="str">
        <f>HYPERLINK("https://www.bioscidb.com/tag/gettag/8467439a-2207-46f2-8eee-26980d85548e","Tag")</f>
        <v>Tag</v>
      </c>
      <c r="O38" s="4" t="s">
        <v>14</v>
      </c>
      <c r="P38" s="4"/>
      <c r="Q38" s="4">
        <v>225</v>
      </c>
      <c r="R38" s="6" t="str">
        <f>HYPERLINK("https://www.bioscidb.com/tag/gettag/38aba924-094f-4287-9b65-dfae97cc1f7e","Tag")</f>
        <v>Tag</v>
      </c>
      <c r="S38" s="4" t="s">
        <v>14</v>
      </c>
      <c r="T38" s="6" t="str">
        <f>HYPERLINK("https://www.bioscidb.com/tag/gettag/b6672d96-9564-4055-a508-a8efbc9d12c0","Tag")</f>
        <v>Tag</v>
      </c>
      <c r="U38" s="8">
        <v>6</v>
      </c>
      <c r="V38" s="6" t="str">
        <f>HYPERLINK("https://www.bioscidb.com/tag/gettag/6b841dd5-6a68-448b-9597-3d432cbd5895","Tag")</f>
        <v>Tag</v>
      </c>
      <c r="W38" s="1" t="s">
        <v>14</v>
      </c>
      <c r="X38" s="1" t="s">
        <v>14</v>
      </c>
      <c r="Y38" s="1" t="s">
        <v>123</v>
      </c>
      <c r="Z38" s="1" t="s">
        <v>22</v>
      </c>
      <c r="AA38" s="1" t="s">
        <v>775</v>
      </c>
    </row>
    <row r="39" spans="1:27" ht="12.75">
      <c r="A39" s="3" t="s">
        <v>773</v>
      </c>
      <c r="B39" s="1" t="s">
        <v>836</v>
      </c>
      <c r="C39" s="1" t="s">
        <v>789</v>
      </c>
      <c r="D39" s="1" t="s">
        <v>131</v>
      </c>
      <c r="E39" s="6" t="str">
        <f>HYPERLINK("https://www.bioscidb.com/browse/deal_bg/14606","Link")</f>
        <v>Link</v>
      </c>
      <c r="F39" s="1" t="s">
        <v>27</v>
      </c>
      <c r="G39" s="16" t="s">
        <v>837</v>
      </c>
      <c r="H39" s="4">
        <v>60</v>
      </c>
      <c r="I39" s="4">
        <v>40</v>
      </c>
      <c r="J39" s="4" t="s">
        <v>14</v>
      </c>
      <c r="K39" s="20">
        <f>I39/H39</f>
        <v>0.6666666666666666</v>
      </c>
      <c r="L39" s="5" t="s">
        <v>14</v>
      </c>
      <c r="M39" s="4" t="s">
        <v>14</v>
      </c>
      <c r="N39" s="4"/>
      <c r="O39" s="4" t="s">
        <v>14</v>
      </c>
      <c r="P39" s="4"/>
      <c r="Q39" s="4">
        <v>20</v>
      </c>
      <c r="R39" s="6" t="str">
        <f>HYPERLINK("https://www.bioscidb.com/tag/gettag/b839942e-7d3f-49ca-ad04-a6a90542e7c2","Tag")</f>
        <v>Tag</v>
      </c>
      <c r="S39" s="4" t="s">
        <v>14</v>
      </c>
      <c r="T39" s="4"/>
      <c r="U39" s="8"/>
      <c r="V39" s="4"/>
      <c r="W39" s="1" t="s">
        <v>14</v>
      </c>
      <c r="X39" s="1" t="s">
        <v>14</v>
      </c>
      <c r="Y39" s="1" t="s">
        <v>21</v>
      </c>
      <c r="Z39" s="1" t="s">
        <v>131</v>
      </c>
      <c r="AA39" s="1" t="s">
        <v>14</v>
      </c>
    </row>
    <row r="40" spans="1:27" ht="12.75">
      <c r="A40" s="3" t="s">
        <v>722</v>
      </c>
      <c r="B40" s="1" t="s">
        <v>753</v>
      </c>
      <c r="C40" s="1" t="s">
        <v>754</v>
      </c>
      <c r="D40" s="17" t="s">
        <v>280</v>
      </c>
      <c r="E40" s="6" t="str">
        <f>HYPERLINK("https://www.bioscidb.com/browse/deal_bg/14277","Link")</f>
        <v>Link</v>
      </c>
      <c r="F40" s="1" t="s">
        <v>69</v>
      </c>
      <c r="G40" s="16" t="s">
        <v>755</v>
      </c>
      <c r="H40" s="4">
        <v>61</v>
      </c>
      <c r="I40" s="4">
        <v>55</v>
      </c>
      <c r="J40" s="4" t="s">
        <v>14</v>
      </c>
      <c r="K40" s="20">
        <f>I40/H40</f>
        <v>0.9016393442622951</v>
      </c>
      <c r="L40" s="5" t="s">
        <v>14</v>
      </c>
      <c r="M40" s="4" t="s">
        <v>14</v>
      </c>
      <c r="N40" s="4"/>
      <c r="O40" s="4" t="s">
        <v>14</v>
      </c>
      <c r="P40" s="4"/>
      <c r="Q40" s="4">
        <v>6</v>
      </c>
      <c r="R40" s="4"/>
      <c r="S40" s="4" t="s">
        <v>14</v>
      </c>
      <c r="T40" s="4"/>
      <c r="U40" s="8"/>
      <c r="V40" s="4"/>
      <c r="W40" s="1" t="s">
        <v>14</v>
      </c>
      <c r="X40" s="1" t="s">
        <v>14</v>
      </c>
      <c r="Y40" s="1" t="s">
        <v>14</v>
      </c>
      <c r="Z40" s="1" t="s">
        <v>758</v>
      </c>
      <c r="AA40" s="1" t="s">
        <v>756</v>
      </c>
    </row>
    <row r="41" spans="1:27" ht="12.75">
      <c r="A41" s="3" t="s">
        <v>722</v>
      </c>
      <c r="B41" s="1" t="s">
        <v>788</v>
      </c>
      <c r="C41" s="1" t="s">
        <v>789</v>
      </c>
      <c r="D41" s="1" t="s">
        <v>131</v>
      </c>
      <c r="E41" s="6" t="str">
        <f>HYPERLINK("https://www.bioscidb.com/browse/deal_bg/14350","Link")</f>
        <v>Link</v>
      </c>
      <c r="F41" s="1" t="s">
        <v>27</v>
      </c>
      <c r="G41" s="16" t="s">
        <v>30</v>
      </c>
      <c r="H41" s="4">
        <v>200</v>
      </c>
      <c r="I41" s="4">
        <v>135</v>
      </c>
      <c r="J41" s="4" t="s">
        <v>14</v>
      </c>
      <c r="K41" s="20">
        <f>I41/H41</f>
        <v>0.675</v>
      </c>
      <c r="L41" s="5" t="s">
        <v>19</v>
      </c>
      <c r="M41" s="4" t="s">
        <v>14</v>
      </c>
      <c r="N41" s="4"/>
      <c r="O41" s="4">
        <v>15</v>
      </c>
      <c r="P41" s="6" t="str">
        <f>HYPERLINK("https://www.bioscidb.com/tag/gettag/f4136275-9c9a-4124-aa44-b824bd7910a0","Tag")</f>
        <v>Tag</v>
      </c>
      <c r="Q41" s="4">
        <v>50</v>
      </c>
      <c r="R41" s="4"/>
      <c r="S41" s="4" t="s">
        <v>14</v>
      </c>
      <c r="T41" s="4"/>
      <c r="U41" s="8"/>
      <c r="V41" s="4"/>
      <c r="W41" s="1" t="s">
        <v>14</v>
      </c>
      <c r="X41" s="1" t="s">
        <v>14</v>
      </c>
      <c r="Y41" s="1" t="s">
        <v>14</v>
      </c>
      <c r="Z41" s="1" t="s">
        <v>131</v>
      </c>
      <c r="AA41" s="1" t="s">
        <v>14</v>
      </c>
    </row>
    <row r="42" spans="1:27" ht="12.75">
      <c r="A42" s="3" t="s">
        <v>722</v>
      </c>
      <c r="B42" s="1" t="s">
        <v>732</v>
      </c>
      <c r="C42" s="1" t="s">
        <v>733</v>
      </c>
      <c r="D42" s="1" t="s">
        <v>43</v>
      </c>
      <c r="E42" s="6" t="str">
        <f>HYPERLINK("https://www.bioscidb.com/browse/deal_bg/13833","Link")</f>
        <v>Link</v>
      </c>
      <c r="F42" s="1" t="s">
        <v>27</v>
      </c>
      <c r="G42" s="16" t="s">
        <v>734</v>
      </c>
      <c r="H42" s="4">
        <v>100</v>
      </c>
      <c r="I42" s="4" t="s">
        <v>14</v>
      </c>
      <c r="J42" s="4">
        <v>100</v>
      </c>
      <c r="K42" s="20"/>
      <c r="L42" s="5" t="s">
        <v>19</v>
      </c>
      <c r="M42" s="4" t="s">
        <v>14</v>
      </c>
      <c r="N42" s="4"/>
      <c r="O42" s="4" t="s">
        <v>14</v>
      </c>
      <c r="P42" s="6" t="str">
        <f>HYPERLINK("https://www.bioscidb.com/tag/gettag/2400c47e-f923-42f4-9e38-2b27e066ad56","Tag")</f>
        <v>Tag</v>
      </c>
      <c r="Q42" s="4" t="s">
        <v>14</v>
      </c>
      <c r="R42" s="4"/>
      <c r="S42" s="4" t="s">
        <v>14</v>
      </c>
      <c r="T42" s="6" t="str">
        <f>HYPERLINK("https://www.bioscidb.com/tag/gettag/9d834b63-8e7e-4bf3-9fea-fd096414d725","Tag")</f>
        <v>Tag</v>
      </c>
      <c r="U42" s="8">
        <v>1</v>
      </c>
      <c r="V42" s="6" t="str">
        <f>HYPERLINK("https://www.bioscidb.com/tag/gettag/89171764-13ab-4c2a-acc6-83579fbe53fd","Tag")</f>
        <v>Tag</v>
      </c>
      <c r="W42" s="1" t="s">
        <v>14</v>
      </c>
      <c r="X42" s="1" t="s">
        <v>14</v>
      </c>
      <c r="Y42" s="1" t="s">
        <v>736</v>
      </c>
      <c r="Z42" s="1" t="s">
        <v>437</v>
      </c>
      <c r="AA42" s="1" t="s">
        <v>735</v>
      </c>
    </row>
    <row r="43" spans="1:27" ht="12.75">
      <c r="A43" s="3" t="s">
        <v>722</v>
      </c>
      <c r="B43" s="1" t="s">
        <v>723</v>
      </c>
      <c r="C43" s="1" t="s">
        <v>724</v>
      </c>
      <c r="D43" s="17" t="s">
        <v>50</v>
      </c>
      <c r="E43" s="6" t="str">
        <f>HYPERLINK("https://www.bioscidb.com/browse/deal_bg/13834","Link")</f>
        <v>Link</v>
      </c>
      <c r="F43" s="1" t="s">
        <v>27</v>
      </c>
      <c r="G43" s="16" t="s">
        <v>725</v>
      </c>
      <c r="H43" s="4">
        <v>215</v>
      </c>
      <c r="I43" s="4" t="s">
        <v>14</v>
      </c>
      <c r="J43" s="4">
        <v>35</v>
      </c>
      <c r="K43" s="20">
        <f>J43/H43</f>
        <v>0.16279069767441862</v>
      </c>
      <c r="L43" s="5" t="s">
        <v>19</v>
      </c>
      <c r="M43" s="4">
        <v>180</v>
      </c>
      <c r="N43" s="6" t="str">
        <f>HYPERLINK("https://www.bioscidb.com/tag/gettag/3bbf2260-1ab2-49bd-9d2e-c887a5c70e5a","Tag")</f>
        <v>Tag</v>
      </c>
      <c r="O43" s="4" t="s">
        <v>14</v>
      </c>
      <c r="P43" s="4"/>
      <c r="Q43" s="4" t="s">
        <v>14</v>
      </c>
      <c r="R43" s="4"/>
      <c r="S43" s="4" t="s">
        <v>14</v>
      </c>
      <c r="T43" s="4"/>
      <c r="U43" s="8"/>
      <c r="V43" s="4"/>
      <c r="W43" s="1" t="s">
        <v>211</v>
      </c>
      <c r="X43" s="1" t="s">
        <v>14</v>
      </c>
      <c r="Y43" s="1" t="s">
        <v>139</v>
      </c>
      <c r="Z43" s="1" t="s">
        <v>89</v>
      </c>
      <c r="AA43" s="1" t="s">
        <v>726</v>
      </c>
    </row>
    <row r="44" spans="1:27" ht="12.75">
      <c r="A44" s="3" t="s">
        <v>722</v>
      </c>
      <c r="B44" s="1" t="s">
        <v>759</v>
      </c>
      <c r="C44" s="1" t="s">
        <v>760</v>
      </c>
      <c r="D44" s="1" t="s">
        <v>131</v>
      </c>
      <c r="E44" s="6" t="str">
        <f>HYPERLINK("https://www.bioscidb.com/browse/deal_bg/13852","Link")</f>
        <v>Link</v>
      </c>
      <c r="F44" s="1" t="s">
        <v>27</v>
      </c>
      <c r="G44" s="16" t="s">
        <v>761</v>
      </c>
      <c r="H44" s="4">
        <v>15</v>
      </c>
      <c r="I44" s="4">
        <v>0.4</v>
      </c>
      <c r="J44" s="4" t="s">
        <v>14</v>
      </c>
      <c r="K44" s="20">
        <f>I44/H44</f>
        <v>0.02666666666666667</v>
      </c>
      <c r="L44" s="5" t="s">
        <v>14</v>
      </c>
      <c r="M44" s="4">
        <v>14.6</v>
      </c>
      <c r="N44" s="4"/>
      <c r="O44" s="4" t="s">
        <v>14</v>
      </c>
      <c r="P44" s="4"/>
      <c r="Q44" s="4" t="s">
        <v>14</v>
      </c>
      <c r="R44" s="4"/>
      <c r="S44" s="4" t="s">
        <v>14</v>
      </c>
      <c r="T44" s="4"/>
      <c r="U44" s="8"/>
      <c r="V44" s="4"/>
      <c r="W44" s="1" t="s">
        <v>14</v>
      </c>
      <c r="X44" s="1" t="s">
        <v>14</v>
      </c>
      <c r="Y44" s="1" t="s">
        <v>163</v>
      </c>
      <c r="Z44" s="1" t="s">
        <v>14</v>
      </c>
      <c r="AA44" s="1" t="s">
        <v>14</v>
      </c>
    </row>
    <row r="45" spans="1:27" ht="12.75">
      <c r="A45" s="3" t="s">
        <v>737</v>
      </c>
      <c r="B45" s="1" t="s">
        <v>738</v>
      </c>
      <c r="C45" s="1" t="s">
        <v>642</v>
      </c>
      <c r="D45" s="17" t="s">
        <v>56</v>
      </c>
      <c r="E45" s="6" t="str">
        <f>HYPERLINK("https://www.bioscidb.com/browse/deal_bg/13872","Link")</f>
        <v>Link</v>
      </c>
      <c r="F45" s="1" t="s">
        <v>27</v>
      </c>
      <c r="G45" s="16" t="s">
        <v>739</v>
      </c>
      <c r="H45" s="4">
        <v>504</v>
      </c>
      <c r="I45" s="4">
        <v>485</v>
      </c>
      <c r="J45" s="4" t="s">
        <v>14</v>
      </c>
      <c r="K45" s="20">
        <f>I45/H45</f>
        <v>0.9623015873015873</v>
      </c>
      <c r="L45" s="5" t="s">
        <v>19</v>
      </c>
      <c r="M45" s="4">
        <v>19</v>
      </c>
      <c r="N45" s="6" t="str">
        <f>HYPERLINK("https://www.bioscidb.com/tag/gettag/fafc9ccc-4e48-4db4-98f7-8f0d6ccb494a","Tag")</f>
        <v>Tag</v>
      </c>
      <c r="O45" s="4" t="s">
        <v>14</v>
      </c>
      <c r="P45" s="4"/>
      <c r="Q45" s="4" t="s">
        <v>14</v>
      </c>
      <c r="R45" s="4"/>
      <c r="S45" s="4" t="s">
        <v>14</v>
      </c>
      <c r="T45" s="6" t="str">
        <f>HYPERLINK("https://www.bioscidb.com/tag/gettag/be19ccc7-6182-4fe2-a35a-8b2b43c4aec9","Tag")</f>
        <v>Tag</v>
      </c>
      <c r="U45" s="8"/>
      <c r="V45" s="4"/>
      <c r="W45" s="1" t="s">
        <v>211</v>
      </c>
      <c r="X45" s="1" t="s">
        <v>14</v>
      </c>
      <c r="Y45" s="1" t="s">
        <v>714</v>
      </c>
      <c r="Z45" s="1" t="s">
        <v>32</v>
      </c>
      <c r="AA45" s="1" t="s">
        <v>740</v>
      </c>
    </row>
    <row r="46" spans="1:27" ht="12.75">
      <c r="A46" s="3" t="s">
        <v>727</v>
      </c>
      <c r="B46" s="1" t="s">
        <v>741</v>
      </c>
      <c r="C46" s="1" t="s">
        <v>275</v>
      </c>
      <c r="D46" s="17" t="s">
        <v>56</v>
      </c>
      <c r="E46" s="6" t="str">
        <f>HYPERLINK("https://www.bioscidb.com/browse/deal_bg/13496","Link")</f>
        <v>Link</v>
      </c>
      <c r="F46" s="1" t="s">
        <v>45</v>
      </c>
      <c r="G46" s="16" t="s">
        <v>742</v>
      </c>
      <c r="H46" s="4">
        <v>723</v>
      </c>
      <c r="I46" s="4">
        <v>575</v>
      </c>
      <c r="J46" s="4">
        <v>48</v>
      </c>
      <c r="K46" s="20">
        <f>(I46+J46)/H46</f>
        <v>0.8616874135546335</v>
      </c>
      <c r="L46" s="5" t="s">
        <v>19</v>
      </c>
      <c r="M46" s="4" t="s">
        <v>14</v>
      </c>
      <c r="N46" s="4"/>
      <c r="O46" s="4" t="s">
        <v>14</v>
      </c>
      <c r="P46" s="4"/>
      <c r="Q46" s="4">
        <v>100</v>
      </c>
      <c r="R46" s="6" t="str">
        <f>HYPERLINK("https://www.bioscidb.com/tag/gettag/f259df4d-6a4c-4264-bb90-f4ae4206d02b","Tag")</f>
        <v>Tag</v>
      </c>
      <c r="S46" s="4" t="s">
        <v>14</v>
      </c>
      <c r="T46" s="6" t="str">
        <f>HYPERLINK("https://www.bioscidb.com/tag/gettag/b1702d60-4071-404a-9705-78efb3e46d89","Tag")</f>
        <v>Tag</v>
      </c>
      <c r="U46" s="9">
        <v>4.3</v>
      </c>
      <c r="V46" s="6" t="str">
        <f>HYPERLINK("https://www.bioscidb.com/tag/gettag/720517b4-74e9-4718-9a31-5208b12c0372","Tag")</f>
        <v>Tag</v>
      </c>
      <c r="W46" s="1" t="s">
        <v>14</v>
      </c>
      <c r="X46" s="1" t="s">
        <v>14</v>
      </c>
      <c r="Y46" s="1" t="s">
        <v>744</v>
      </c>
      <c r="Z46" s="1" t="s">
        <v>89</v>
      </c>
      <c r="AA46" s="1" t="s">
        <v>743</v>
      </c>
    </row>
    <row r="47" spans="1:27" ht="12.75">
      <c r="A47" s="3" t="s">
        <v>727</v>
      </c>
      <c r="B47" s="1" t="s">
        <v>728</v>
      </c>
      <c r="C47" s="1" t="s">
        <v>729</v>
      </c>
      <c r="D47" s="1" t="s">
        <v>50</v>
      </c>
      <c r="E47" s="6" t="str">
        <f>HYPERLINK("https://www.bioscidb.com/browse/deal_bg/13478","Link")</f>
        <v>Link</v>
      </c>
      <c r="F47" s="1" t="s">
        <v>45</v>
      </c>
      <c r="G47" s="16" t="s">
        <v>730</v>
      </c>
      <c r="H47" s="4">
        <v>198</v>
      </c>
      <c r="I47" s="4">
        <v>3</v>
      </c>
      <c r="J47" s="4" t="s">
        <v>14</v>
      </c>
      <c r="K47" s="20"/>
      <c r="L47" s="5" t="s">
        <v>14</v>
      </c>
      <c r="M47" s="4" t="s">
        <v>14</v>
      </c>
      <c r="N47" s="4"/>
      <c r="O47" s="4" t="s">
        <v>14</v>
      </c>
      <c r="P47" s="4"/>
      <c r="Q47" s="4" t="s">
        <v>14</v>
      </c>
      <c r="R47" s="4"/>
      <c r="S47" s="4" t="s">
        <v>14</v>
      </c>
      <c r="T47" s="4"/>
      <c r="U47" s="8"/>
      <c r="V47" s="4"/>
      <c r="W47" s="1" t="s">
        <v>23</v>
      </c>
      <c r="X47" s="1" t="s">
        <v>211</v>
      </c>
      <c r="Y47" s="1" t="s">
        <v>55</v>
      </c>
      <c r="Z47" s="1" t="s">
        <v>22</v>
      </c>
      <c r="AA47" s="1" t="s">
        <v>731</v>
      </c>
    </row>
    <row r="48" spans="1:27" ht="12.75">
      <c r="A48" s="3" t="s">
        <v>710</v>
      </c>
      <c r="B48" s="1" t="s">
        <v>711</v>
      </c>
      <c r="C48" s="1" t="s">
        <v>712</v>
      </c>
      <c r="D48" s="17" t="s">
        <v>43</v>
      </c>
      <c r="E48" s="6" t="str">
        <f>HYPERLINK("https://www.bioscidb.com/browse/deal_bg/13389","Link")</f>
        <v>Link</v>
      </c>
      <c r="F48" s="1" t="s">
        <v>45</v>
      </c>
      <c r="G48" s="16" t="s">
        <v>100</v>
      </c>
      <c r="H48" s="4">
        <v>945</v>
      </c>
      <c r="I48" s="4">
        <v>50</v>
      </c>
      <c r="J48" s="4">
        <v>150</v>
      </c>
      <c r="K48" s="20">
        <f>(I48+J48)/H48</f>
        <v>0.21164021164021163</v>
      </c>
      <c r="L48" s="5" t="s">
        <v>14</v>
      </c>
      <c r="M48" s="4">
        <v>595</v>
      </c>
      <c r="N48" s="4"/>
      <c r="O48" s="4" t="s">
        <v>14</v>
      </c>
      <c r="P48" s="4"/>
      <c r="Q48" s="4">
        <v>150</v>
      </c>
      <c r="R48" s="4"/>
      <c r="S48" s="4">
        <v>6</v>
      </c>
      <c r="T48" s="4"/>
      <c r="U48" s="8"/>
      <c r="V48" s="4"/>
      <c r="W48" s="1" t="s">
        <v>14</v>
      </c>
      <c r="X48" s="1" t="s">
        <v>211</v>
      </c>
      <c r="Y48" s="1" t="s">
        <v>714</v>
      </c>
      <c r="Z48" s="1" t="s">
        <v>383</v>
      </c>
      <c r="AA48" s="1" t="s">
        <v>713</v>
      </c>
    </row>
    <row r="49" spans="1:27" ht="12.75">
      <c r="A49" s="3" t="s">
        <v>710</v>
      </c>
      <c r="B49" s="1" t="s">
        <v>715</v>
      </c>
      <c r="C49" s="1" t="s">
        <v>716</v>
      </c>
      <c r="D49" s="17" t="s">
        <v>43</v>
      </c>
      <c r="E49" s="6" t="str">
        <f>HYPERLINK("https://www.bioscidb.com/browse/deal_bg/13747","Link")</f>
        <v>Link</v>
      </c>
      <c r="F49" s="1" t="s">
        <v>27</v>
      </c>
      <c r="G49" s="16" t="s">
        <v>482</v>
      </c>
      <c r="H49" s="4">
        <v>13</v>
      </c>
      <c r="I49" s="4" t="s">
        <v>14</v>
      </c>
      <c r="J49" s="4">
        <v>13</v>
      </c>
      <c r="K49" s="20"/>
      <c r="L49" s="5" t="s">
        <v>14</v>
      </c>
      <c r="M49" s="4" t="s">
        <v>14</v>
      </c>
      <c r="N49" s="4"/>
      <c r="O49" s="4" t="s">
        <v>14</v>
      </c>
      <c r="P49" s="4"/>
      <c r="Q49" s="4" t="s">
        <v>14</v>
      </c>
      <c r="R49" s="4"/>
      <c r="S49" s="4" t="s">
        <v>14</v>
      </c>
      <c r="T49" s="4"/>
      <c r="U49" s="8"/>
      <c r="V49" s="4"/>
      <c r="W49" s="1" t="s">
        <v>14</v>
      </c>
      <c r="X49" s="1" t="s">
        <v>14</v>
      </c>
      <c r="Y49" s="1" t="s">
        <v>14</v>
      </c>
      <c r="Z49" s="1" t="s">
        <v>14</v>
      </c>
      <c r="AA49" s="1" t="s">
        <v>717</v>
      </c>
    </row>
    <row r="50" spans="1:27" ht="25.5">
      <c r="A50" s="3" t="s">
        <v>710</v>
      </c>
      <c r="B50" s="1" t="s">
        <v>555</v>
      </c>
      <c r="C50" s="1" t="s">
        <v>853</v>
      </c>
      <c r="D50" s="17" t="s">
        <v>43</v>
      </c>
      <c r="E50" s="6" t="str">
        <f>HYPERLINK("https://www.bioscidb.com/browse/deal_bg/13352","Link")</f>
        <v>Link</v>
      </c>
      <c r="F50" s="1" t="s">
        <v>45</v>
      </c>
      <c r="G50" s="16" t="s">
        <v>854</v>
      </c>
      <c r="H50" s="4">
        <v>461</v>
      </c>
      <c r="I50" s="4">
        <v>191</v>
      </c>
      <c r="J50" s="4" t="s">
        <v>14</v>
      </c>
      <c r="K50" s="20">
        <f>I50/H50</f>
        <v>0.41431670281995664</v>
      </c>
      <c r="L50" s="5" t="s">
        <v>19</v>
      </c>
      <c r="M50" s="4">
        <v>133</v>
      </c>
      <c r="N50" s="6" t="str">
        <f>HYPERLINK("https://www.bioscidb.com/tag/gettag/965a1abc-139a-446f-9484-30d041d25a26","Tag")</f>
        <v>Tag</v>
      </c>
      <c r="O50" s="4">
        <v>61</v>
      </c>
      <c r="P50" s="4"/>
      <c r="Q50" s="4">
        <v>76</v>
      </c>
      <c r="R50" s="4"/>
      <c r="S50" s="4" t="s">
        <v>14</v>
      </c>
      <c r="T50" s="4"/>
      <c r="U50" s="8"/>
      <c r="V50" s="4"/>
      <c r="W50" s="1" t="s">
        <v>79</v>
      </c>
      <c r="X50" s="1" t="s">
        <v>14</v>
      </c>
      <c r="Y50" s="1" t="s">
        <v>143</v>
      </c>
      <c r="Z50" s="1" t="s">
        <v>89</v>
      </c>
      <c r="AA50" s="1" t="s">
        <v>855</v>
      </c>
    </row>
    <row r="51" spans="1:27" ht="12.75">
      <c r="A51" s="3" t="s">
        <v>710</v>
      </c>
      <c r="B51" s="1" t="s">
        <v>856</v>
      </c>
      <c r="C51" s="1" t="s">
        <v>857</v>
      </c>
      <c r="D51" s="1" t="s">
        <v>90</v>
      </c>
      <c r="E51" s="6" t="str">
        <f>HYPERLINK("https://www.bioscidb.com/browse/deal_bg/13339","Link")</f>
        <v>Link</v>
      </c>
      <c r="F51" s="1" t="s">
        <v>45</v>
      </c>
      <c r="G51" s="16" t="s">
        <v>858</v>
      </c>
      <c r="H51" s="4">
        <v>11</v>
      </c>
      <c r="I51" s="4">
        <v>4</v>
      </c>
      <c r="J51" s="4" t="s">
        <v>14</v>
      </c>
      <c r="K51" s="20">
        <f>I51/H51</f>
        <v>0.36363636363636365</v>
      </c>
      <c r="L51" s="5" t="s">
        <v>14</v>
      </c>
      <c r="M51" s="4">
        <v>7</v>
      </c>
      <c r="N51" s="4"/>
      <c r="O51" s="4" t="s">
        <v>14</v>
      </c>
      <c r="P51" s="4"/>
      <c r="Q51" s="4" t="s">
        <v>14</v>
      </c>
      <c r="R51" s="4"/>
      <c r="S51" s="4" t="s">
        <v>14</v>
      </c>
      <c r="T51" s="4"/>
      <c r="U51" s="8"/>
      <c r="V51" s="4"/>
      <c r="W51" s="1" t="s">
        <v>14</v>
      </c>
      <c r="X51" s="1" t="s">
        <v>66</v>
      </c>
      <c r="Y51" s="1" t="s">
        <v>55</v>
      </c>
      <c r="Z51" s="1" t="s">
        <v>84</v>
      </c>
      <c r="AA51" s="1" t="s">
        <v>859</v>
      </c>
    </row>
    <row r="52" spans="1:27" ht="25.5">
      <c r="A52" s="3" t="s">
        <v>705</v>
      </c>
      <c r="B52" s="1" t="s">
        <v>706</v>
      </c>
      <c r="C52" s="1" t="s">
        <v>707</v>
      </c>
      <c r="D52" s="17" t="s">
        <v>90</v>
      </c>
      <c r="E52" s="6" t="str">
        <f>HYPERLINK("https://www.bioscidb.com/browse/deal_bg/13084","Link")</f>
        <v>Link</v>
      </c>
      <c r="F52" s="1" t="s">
        <v>45</v>
      </c>
      <c r="G52" s="16" t="s">
        <v>708</v>
      </c>
      <c r="H52" s="4">
        <v>425</v>
      </c>
      <c r="I52" s="4">
        <v>60</v>
      </c>
      <c r="J52" s="4" t="s">
        <v>14</v>
      </c>
      <c r="K52" s="20">
        <f>I52/H52</f>
        <v>0.1411764705882353</v>
      </c>
      <c r="L52" s="5" t="s">
        <v>14</v>
      </c>
      <c r="M52" s="4">
        <v>165</v>
      </c>
      <c r="N52" s="4"/>
      <c r="O52" s="4" t="s">
        <v>14</v>
      </c>
      <c r="P52" s="4"/>
      <c r="Q52" s="4" t="s">
        <v>14</v>
      </c>
      <c r="R52" s="4"/>
      <c r="S52" s="4" t="s">
        <v>14</v>
      </c>
      <c r="T52" s="4"/>
      <c r="U52" s="8"/>
      <c r="V52" s="4"/>
      <c r="W52" s="1" t="s">
        <v>14</v>
      </c>
      <c r="X52" s="1" t="s">
        <v>14</v>
      </c>
      <c r="Y52" s="1" t="s">
        <v>317</v>
      </c>
      <c r="Z52" s="1" t="s">
        <v>383</v>
      </c>
      <c r="AA52" s="1" t="s">
        <v>709</v>
      </c>
    </row>
    <row r="53" spans="1:27" ht="12.75">
      <c r="A53" s="3" t="s">
        <v>694</v>
      </c>
      <c r="B53" s="1" t="s">
        <v>695</v>
      </c>
      <c r="C53" s="1" t="s">
        <v>696</v>
      </c>
      <c r="D53" s="1" t="s">
        <v>131</v>
      </c>
      <c r="E53" s="6" t="str">
        <f>HYPERLINK("https://www.bioscidb.com/browse/deal_bg/13052","Link")</f>
        <v>Link</v>
      </c>
      <c r="F53" s="1" t="s">
        <v>27</v>
      </c>
      <c r="G53" s="16" t="s">
        <v>697</v>
      </c>
      <c r="H53" s="4">
        <v>216</v>
      </c>
      <c r="I53" s="4">
        <v>141</v>
      </c>
      <c r="J53" s="4" t="s">
        <v>14</v>
      </c>
      <c r="K53" s="20">
        <f>I53/H53</f>
        <v>0.6527777777777778</v>
      </c>
      <c r="L53" s="5" t="s">
        <v>19</v>
      </c>
      <c r="M53" s="4">
        <v>75</v>
      </c>
      <c r="N53" s="6" t="str">
        <f>HYPERLINK("https://www.bioscidb.com/tag/gettag/73a07e62-9bb1-4789-a154-0d0c6ff26a3a","Tag")</f>
        <v>Tag</v>
      </c>
      <c r="O53" s="4" t="s">
        <v>14</v>
      </c>
      <c r="P53" s="4"/>
      <c r="Q53" s="4" t="s">
        <v>14</v>
      </c>
      <c r="R53" s="4"/>
      <c r="S53" s="4" t="s">
        <v>14</v>
      </c>
      <c r="T53" s="6" t="str">
        <f>HYPERLINK("https://www.bioscidb.com/tag/gettag/e7bb970a-1554-4a88-ad15-6ba9c332346c","Tag")</f>
        <v>Tag</v>
      </c>
      <c r="U53" s="8">
        <v>5</v>
      </c>
      <c r="V53" s="6" t="str">
        <f>HYPERLINK("https://www.bioscidb.com/tag/gettag/367dc894-fc0c-4e58-83aa-27bd793e4a97","Tag")</f>
        <v>Tag</v>
      </c>
      <c r="W53" s="1" t="s">
        <v>211</v>
      </c>
      <c r="X53" s="1" t="s">
        <v>14</v>
      </c>
      <c r="Y53" s="1" t="s">
        <v>21</v>
      </c>
      <c r="Z53" s="1" t="s">
        <v>699</v>
      </c>
      <c r="AA53" s="1" t="s">
        <v>698</v>
      </c>
    </row>
    <row r="54" spans="1:27" ht="25.5">
      <c r="A54" s="3" t="s">
        <v>688</v>
      </c>
      <c r="B54" s="1" t="s">
        <v>689</v>
      </c>
      <c r="C54" s="1" t="s">
        <v>690</v>
      </c>
      <c r="D54" s="1" t="s">
        <v>56</v>
      </c>
      <c r="E54" s="6" t="str">
        <f>HYPERLINK("https://www.bioscidb.com/browse/deal_bg/12885","Link")</f>
        <v>Link</v>
      </c>
      <c r="F54" s="1" t="s">
        <v>27</v>
      </c>
      <c r="G54" s="16" t="s">
        <v>691</v>
      </c>
      <c r="H54" s="4">
        <v>125</v>
      </c>
      <c r="I54" s="4">
        <v>15</v>
      </c>
      <c r="J54" s="4" t="s">
        <v>14</v>
      </c>
      <c r="K54" s="20">
        <f>I54/H54</f>
        <v>0.12</v>
      </c>
      <c r="L54" s="5" t="s">
        <v>19</v>
      </c>
      <c r="M54" s="4">
        <v>15</v>
      </c>
      <c r="N54" s="6" t="str">
        <f>HYPERLINK("https://www.bioscidb.com/tag/gettag/4429e322-4403-45cf-8f6d-7ee3ef4d9b46","Tag")</f>
        <v>Tag</v>
      </c>
      <c r="O54" s="4" t="s">
        <v>14</v>
      </c>
      <c r="P54" s="4"/>
      <c r="Q54" s="4">
        <v>95</v>
      </c>
      <c r="R54" s="6" t="str">
        <f>HYPERLINK("https://www.bioscidb.com/tag/gettag/52a4bcd0-b9ef-4ca9-9cf8-67a853b09053","Tag")</f>
        <v>Tag</v>
      </c>
      <c r="S54" s="4">
        <v>16</v>
      </c>
      <c r="T54" s="6" t="str">
        <f>HYPERLINK("https://www.bioscidb.com/tag/gettag/f88e980d-9622-4377-a872-bad1beb35ff3","Tag")</f>
        <v>Tag</v>
      </c>
      <c r="U54" s="8"/>
      <c r="V54" s="4"/>
      <c r="W54" s="1" t="s">
        <v>14</v>
      </c>
      <c r="X54" s="1" t="s">
        <v>14</v>
      </c>
      <c r="Y54" s="1" t="s">
        <v>156</v>
      </c>
      <c r="Z54" s="1" t="s">
        <v>32</v>
      </c>
      <c r="AA54" s="1" t="s">
        <v>14</v>
      </c>
    </row>
    <row r="55" spans="1:27" ht="25.5">
      <c r="A55" s="3" t="s">
        <v>884</v>
      </c>
      <c r="B55" s="1" t="s">
        <v>93</v>
      </c>
      <c r="C55" s="1" t="s">
        <v>885</v>
      </c>
      <c r="D55" s="17" t="s">
        <v>43</v>
      </c>
      <c r="E55" s="6" t="str">
        <f>HYPERLINK("https://www.bioscidb.com/browse/deal_bg/12769","Link")</f>
        <v>Link</v>
      </c>
      <c r="F55" s="1" t="s">
        <v>45</v>
      </c>
      <c r="G55" s="16" t="s">
        <v>886</v>
      </c>
      <c r="H55" s="4">
        <v>261.3</v>
      </c>
      <c r="I55" s="4">
        <v>142.3</v>
      </c>
      <c r="J55" s="4" t="s">
        <v>14</v>
      </c>
      <c r="K55" s="20">
        <f>I55/H55</f>
        <v>0.5445847684653655</v>
      </c>
      <c r="L55" s="5" t="s">
        <v>14</v>
      </c>
      <c r="M55" s="4" t="s">
        <v>14</v>
      </c>
      <c r="N55" s="4"/>
      <c r="O55" s="4" t="s">
        <v>14</v>
      </c>
      <c r="P55" s="4"/>
      <c r="Q55" s="4" t="s">
        <v>14</v>
      </c>
      <c r="R55" s="4"/>
      <c r="S55" s="4" t="s">
        <v>14</v>
      </c>
      <c r="T55" s="4"/>
      <c r="U55" s="8"/>
      <c r="V55" s="4"/>
      <c r="W55" s="1" t="s">
        <v>79</v>
      </c>
      <c r="X55" s="1" t="s">
        <v>14</v>
      </c>
      <c r="Y55" s="1" t="s">
        <v>203</v>
      </c>
      <c r="Z55" s="1" t="s">
        <v>84</v>
      </c>
      <c r="AA55" s="1" t="s">
        <v>887</v>
      </c>
    </row>
    <row r="56" spans="1:27" ht="12.75">
      <c r="A56" s="3" t="s">
        <v>667</v>
      </c>
      <c r="B56" s="1" t="s">
        <v>669</v>
      </c>
      <c r="C56" s="1" t="s">
        <v>71</v>
      </c>
      <c r="D56" s="17" t="s">
        <v>50</v>
      </c>
      <c r="E56" s="6" t="str">
        <f>HYPERLINK("https://www.bioscidb.com/browse/deal_bg/12442","Link")</f>
        <v>Link</v>
      </c>
      <c r="F56" s="1" t="s">
        <v>69</v>
      </c>
      <c r="G56" s="16" t="s">
        <v>30</v>
      </c>
      <c r="H56" s="4">
        <v>7000</v>
      </c>
      <c r="I56" s="4">
        <v>1100</v>
      </c>
      <c r="J56" s="4" t="s">
        <v>14</v>
      </c>
      <c r="K56" s="20">
        <f>I56/H56</f>
        <v>0.15714285714285714</v>
      </c>
      <c r="L56" s="5" t="s">
        <v>14</v>
      </c>
      <c r="M56" s="4">
        <v>1400</v>
      </c>
      <c r="N56" s="4"/>
      <c r="O56" s="4" t="s">
        <v>14</v>
      </c>
      <c r="P56" s="4"/>
      <c r="Q56" s="4">
        <v>4500</v>
      </c>
      <c r="R56" s="4"/>
      <c r="S56" s="4" t="s">
        <v>14</v>
      </c>
      <c r="T56" s="4"/>
      <c r="U56" s="8"/>
      <c r="V56" s="4"/>
      <c r="W56" s="1" t="s">
        <v>14</v>
      </c>
      <c r="X56" s="1" t="s">
        <v>23</v>
      </c>
      <c r="Y56" s="1" t="s">
        <v>55</v>
      </c>
      <c r="Z56" s="1" t="s">
        <v>22</v>
      </c>
      <c r="AA56" s="1" t="s">
        <v>670</v>
      </c>
    </row>
    <row r="57" spans="1:27" ht="12.75">
      <c r="A57" s="3" t="s">
        <v>667</v>
      </c>
      <c r="B57" s="1" t="s">
        <v>677</v>
      </c>
      <c r="C57" s="1" t="s">
        <v>678</v>
      </c>
      <c r="D57" s="1" t="s">
        <v>280</v>
      </c>
      <c r="E57" s="6" t="str">
        <f>HYPERLINK("https://www.bioscidb.com/browse/deal_bg/12649","Link")</f>
        <v>Link</v>
      </c>
      <c r="F57" s="1" t="s">
        <v>69</v>
      </c>
      <c r="G57" s="16" t="s">
        <v>30</v>
      </c>
      <c r="H57" s="4">
        <v>191</v>
      </c>
      <c r="I57" s="4">
        <v>147</v>
      </c>
      <c r="J57" s="4" t="s">
        <v>14</v>
      </c>
      <c r="K57" s="20">
        <f>I57/H57</f>
        <v>0.7696335078534031</v>
      </c>
      <c r="L57" s="5" t="s">
        <v>14</v>
      </c>
      <c r="M57" s="4" t="s">
        <v>14</v>
      </c>
      <c r="N57" s="4"/>
      <c r="O57" s="4" t="s">
        <v>14</v>
      </c>
      <c r="P57" s="4"/>
      <c r="Q57" s="4" t="s">
        <v>14</v>
      </c>
      <c r="R57" s="4"/>
      <c r="S57" s="4" t="s">
        <v>14</v>
      </c>
      <c r="T57" s="4"/>
      <c r="U57" s="8"/>
      <c r="V57" s="4"/>
      <c r="W57" s="1" t="s">
        <v>14</v>
      </c>
      <c r="X57" s="1" t="s">
        <v>14</v>
      </c>
      <c r="Y57" s="1" t="s">
        <v>14</v>
      </c>
      <c r="Z57" s="1" t="s">
        <v>286</v>
      </c>
      <c r="AA57" s="1" t="s">
        <v>679</v>
      </c>
    </row>
    <row r="58" spans="1:27" ht="12.75">
      <c r="A58" s="3"/>
      <c r="B58" s="1"/>
      <c r="C58" s="1"/>
      <c r="D58" s="1"/>
      <c r="E58" s="6"/>
      <c r="F58" s="1"/>
      <c r="G58" s="16"/>
      <c r="H58" s="4"/>
      <c r="I58" s="4"/>
      <c r="J58" s="4"/>
      <c r="K58" s="20"/>
      <c r="L58" s="5"/>
      <c r="M58" s="4"/>
      <c r="N58" s="4"/>
      <c r="O58" s="4"/>
      <c r="P58" s="4"/>
      <c r="Q58" s="4"/>
      <c r="R58" s="4"/>
      <c r="S58" s="4"/>
      <c r="T58" s="4"/>
      <c r="U58" s="8"/>
      <c r="V58" s="4"/>
      <c r="W58" s="1"/>
      <c r="X58" s="1"/>
      <c r="Y58" s="1"/>
      <c r="Z58" s="1"/>
      <c r="AA58" s="1"/>
    </row>
    <row r="59" spans="1:27" ht="12.75">
      <c r="A59" s="3"/>
      <c r="B59" s="1"/>
      <c r="C59" s="1"/>
      <c r="D59" s="1"/>
      <c r="E59" s="6"/>
      <c r="F59" s="1"/>
      <c r="G59" s="16"/>
      <c r="H59" s="4"/>
      <c r="I59" s="4"/>
      <c r="J59" s="4"/>
      <c r="K59" s="20"/>
      <c r="L59" s="5"/>
      <c r="M59" s="4"/>
      <c r="N59" s="4"/>
      <c r="O59" s="4"/>
      <c r="P59" s="4"/>
      <c r="Q59" s="4"/>
      <c r="R59" s="4"/>
      <c r="T59" s="25" t="s">
        <v>1031</v>
      </c>
      <c r="U59" s="8">
        <f>AVERAGE(U2:U57)</f>
        <v>5.361904761904761</v>
      </c>
      <c r="V59" s="4"/>
      <c r="W59" s="1"/>
      <c r="X59" s="1"/>
      <c r="Y59" s="1"/>
      <c r="Z59" s="1"/>
      <c r="AA59" s="1"/>
    </row>
    <row r="60" spans="1:27" ht="12.75">
      <c r="A60" s="3"/>
      <c r="B60" s="1"/>
      <c r="C60" s="1"/>
      <c r="D60" s="1"/>
      <c r="E60" s="6"/>
      <c r="F60" s="1"/>
      <c r="G60" s="16"/>
      <c r="H60" s="4"/>
      <c r="I60" s="4"/>
      <c r="J60" s="4"/>
      <c r="K60" s="20"/>
      <c r="L60" s="5"/>
      <c r="M60" s="4"/>
      <c r="N60" s="4"/>
      <c r="O60" s="4"/>
      <c r="P60" s="4"/>
      <c r="Q60" s="4"/>
      <c r="R60" s="4"/>
      <c r="T60" s="25" t="s">
        <v>1032</v>
      </c>
      <c r="U60" s="8">
        <f>MEDIAN(U2:U57)</f>
        <v>5</v>
      </c>
      <c r="V60" s="4"/>
      <c r="W60" s="1"/>
      <c r="X60" s="1"/>
      <c r="Y60" s="1"/>
      <c r="Z60" s="1"/>
      <c r="AA60" s="1"/>
    </row>
    <row r="61" spans="1:27" ht="12.75">
      <c r="A61" s="3"/>
      <c r="B61" s="1"/>
      <c r="C61" s="1"/>
      <c r="D61" s="1"/>
      <c r="E61" s="6"/>
      <c r="F61" s="1"/>
      <c r="G61" s="16"/>
      <c r="H61" s="4"/>
      <c r="I61" s="4"/>
      <c r="J61" s="4"/>
      <c r="K61" s="20"/>
      <c r="L61" s="5"/>
      <c r="M61" s="4"/>
      <c r="N61" s="4"/>
      <c r="O61" s="4"/>
      <c r="P61" s="4"/>
      <c r="Q61" s="4"/>
      <c r="R61" s="4"/>
      <c r="S61" s="4"/>
      <c r="T61" s="4"/>
      <c r="U61" s="8"/>
      <c r="V61" s="4"/>
      <c r="W61" s="1"/>
      <c r="X61" s="1"/>
      <c r="Y61" s="1"/>
      <c r="Z61" s="1"/>
      <c r="AA61" s="1"/>
    </row>
    <row r="62" spans="1:27" ht="12.75">
      <c r="A62" s="3" t="s">
        <v>658</v>
      </c>
      <c r="B62" s="1" t="s">
        <v>659</v>
      </c>
      <c r="C62" s="1" t="s">
        <v>660</v>
      </c>
      <c r="D62" s="1" t="s">
        <v>90</v>
      </c>
      <c r="E62" s="6" t="str">
        <f>HYPERLINK("https://www.bioscidb.com/browse/deal_bg/12282","Link")</f>
        <v>Link</v>
      </c>
      <c r="F62" s="1" t="s">
        <v>69</v>
      </c>
      <c r="G62" s="16" t="s">
        <v>30</v>
      </c>
      <c r="H62" s="4">
        <v>472</v>
      </c>
      <c r="I62" s="4">
        <v>150</v>
      </c>
      <c r="J62" s="4" t="s">
        <v>14</v>
      </c>
      <c r="K62" s="20">
        <f>I62/H62</f>
        <v>0.3177966101694915</v>
      </c>
      <c r="L62" s="5" t="s">
        <v>14</v>
      </c>
      <c r="M62" s="4">
        <v>322</v>
      </c>
      <c r="N62" s="4"/>
      <c r="O62" s="4" t="s">
        <v>14</v>
      </c>
      <c r="P62" s="4"/>
      <c r="Q62" s="4" t="s">
        <v>14</v>
      </c>
      <c r="R62" s="4"/>
      <c r="S62" s="4" t="s">
        <v>14</v>
      </c>
      <c r="T62" s="4"/>
      <c r="U62" s="8"/>
      <c r="V62" s="4"/>
      <c r="W62" s="1" t="s">
        <v>14</v>
      </c>
      <c r="X62" s="1" t="s">
        <v>662</v>
      </c>
      <c r="Y62" s="1" t="s">
        <v>55</v>
      </c>
      <c r="Z62" s="1" t="s">
        <v>437</v>
      </c>
      <c r="AA62" s="1" t="s">
        <v>661</v>
      </c>
    </row>
    <row r="63" spans="1:27" ht="25.5">
      <c r="A63" s="3" t="s">
        <v>658</v>
      </c>
      <c r="B63" s="1" t="s">
        <v>664</v>
      </c>
      <c r="C63" s="1" t="s">
        <v>488</v>
      </c>
      <c r="D63" s="17" t="s">
        <v>67</v>
      </c>
      <c r="E63" s="6" t="str">
        <f>HYPERLINK("https://www.bioscidb.com/browse/deal_bg/12441","Link")</f>
        <v>Link</v>
      </c>
      <c r="F63" s="1" t="s">
        <v>69</v>
      </c>
      <c r="G63" s="16" t="s">
        <v>665</v>
      </c>
      <c r="H63" s="4">
        <v>122</v>
      </c>
      <c r="I63" s="4">
        <v>10</v>
      </c>
      <c r="J63" s="4" t="s">
        <v>14</v>
      </c>
      <c r="K63" s="20">
        <f>I63/H63</f>
        <v>0.08196721311475409</v>
      </c>
      <c r="L63" s="5" t="s">
        <v>14</v>
      </c>
      <c r="M63" s="4">
        <v>5</v>
      </c>
      <c r="N63" s="4"/>
      <c r="O63" s="4" t="s">
        <v>14</v>
      </c>
      <c r="P63" s="4"/>
      <c r="Q63" s="4" t="s">
        <v>14</v>
      </c>
      <c r="R63" s="4"/>
      <c r="S63" s="4" t="s">
        <v>14</v>
      </c>
      <c r="T63" s="4"/>
      <c r="U63" s="8"/>
      <c r="V63" s="4"/>
      <c r="W63" s="1" t="s">
        <v>14</v>
      </c>
      <c r="X63" s="1" t="s">
        <v>211</v>
      </c>
      <c r="Y63" s="1" t="s">
        <v>668</v>
      </c>
      <c r="Z63" s="1" t="s">
        <v>14</v>
      </c>
      <c r="AA63" s="1" t="s">
        <v>666</v>
      </c>
    </row>
    <row r="64" spans="1:27" ht="12.75">
      <c r="A64" s="3" t="s">
        <v>648</v>
      </c>
      <c r="B64" s="1" t="s">
        <v>649</v>
      </c>
      <c r="C64" s="1" t="s">
        <v>650</v>
      </c>
      <c r="D64" s="17" t="s">
        <v>43</v>
      </c>
      <c r="E64" s="6" t="str">
        <f>HYPERLINK("https://www.bioscidb.com/browse/deal_bg/12085","Link")</f>
        <v>Link</v>
      </c>
      <c r="F64" s="1" t="s">
        <v>27</v>
      </c>
      <c r="G64" s="16" t="s">
        <v>651</v>
      </c>
      <c r="H64" s="4">
        <v>117</v>
      </c>
      <c r="I64" s="4">
        <v>42</v>
      </c>
      <c r="J64" s="4" t="s">
        <v>14</v>
      </c>
      <c r="K64" s="20">
        <f>I64/H64</f>
        <v>0.358974358974359</v>
      </c>
      <c r="L64" s="5" t="s">
        <v>19</v>
      </c>
      <c r="M64" s="4">
        <v>10</v>
      </c>
      <c r="N64" s="6" t="str">
        <f>HYPERLINK("https://www.bioscidb.com/tag/gettag/7c24059e-7a3c-42a8-9d9f-f3034bd2ad3c","Tag")</f>
        <v>Tag</v>
      </c>
      <c r="O64" s="4">
        <v>15</v>
      </c>
      <c r="P64" s="6" t="str">
        <f>HYPERLINK("https://www.bioscidb.com/tag/gettag/7c24059e-7a3c-42a8-9d9f-f3034bd2ad3c","Tag")</f>
        <v>Tag</v>
      </c>
      <c r="Q64" s="4">
        <v>50</v>
      </c>
      <c r="R64" s="6" t="str">
        <f>HYPERLINK("https://www.bioscidb.com/tag/gettag/7c24059e-7a3c-42a8-9d9f-f3034bd2ad3c","Tag")</f>
        <v>Tag</v>
      </c>
      <c r="S64" s="4" t="s">
        <v>14</v>
      </c>
      <c r="T64" s="6" t="str">
        <f>HYPERLINK("https://www.bioscidb.com/tag/gettag/fd2704ac-eb3f-4fa3-b553-a7519c15fcf1","Tag")</f>
        <v>Tag</v>
      </c>
      <c r="U64" s="8">
        <v>12</v>
      </c>
      <c r="V64" s="6" t="str">
        <f>HYPERLINK("https://www.bioscidb.com/tag/gettag/ba7f5e27-6dcf-434d-8576-6f95e6ef9a65","Tag")</f>
        <v>Tag</v>
      </c>
      <c r="W64" s="1" t="s">
        <v>14</v>
      </c>
      <c r="X64" s="1" t="s">
        <v>66</v>
      </c>
      <c r="Y64" s="1" t="s">
        <v>653</v>
      </c>
      <c r="Z64" s="1" t="s">
        <v>22</v>
      </c>
      <c r="AA64" s="1" t="s">
        <v>652</v>
      </c>
    </row>
    <row r="65" spans="1:27" ht="12.75">
      <c r="A65" s="3" t="s">
        <v>645</v>
      </c>
      <c r="B65" s="1" t="s">
        <v>646</v>
      </c>
      <c r="C65" s="1" t="s">
        <v>29</v>
      </c>
      <c r="D65" s="17" t="s">
        <v>90</v>
      </c>
      <c r="E65" s="6" t="str">
        <f>HYPERLINK("https://www.bioscidb.com/browse/deal_bg/11871","Link")</f>
        <v>Link</v>
      </c>
      <c r="F65" s="1" t="s">
        <v>27</v>
      </c>
      <c r="G65" s="16" t="s">
        <v>30</v>
      </c>
      <c r="H65" s="4">
        <v>35.5</v>
      </c>
      <c r="I65" s="4">
        <v>25</v>
      </c>
      <c r="J65" s="4" t="s">
        <v>14</v>
      </c>
      <c r="K65" s="20">
        <f>I65/H65</f>
        <v>0.704225352112676</v>
      </c>
      <c r="L65" s="5" t="s">
        <v>19</v>
      </c>
      <c r="M65" s="4">
        <v>10.5</v>
      </c>
      <c r="N65" s="6" t="str">
        <f>HYPERLINK("https://www.bioscidb.com/tag/gettag/eddd24ec-9cd4-44cc-a50d-cf0401d0f419","Tag")</f>
        <v>Tag</v>
      </c>
      <c r="O65" s="4" t="s">
        <v>14</v>
      </c>
      <c r="P65" s="6" t="str">
        <f>HYPERLINK("https://www.bioscidb.com/tag/gettag/682ca5c7-9284-4501-a4f0-10b7dbb91cbb","Tag")</f>
        <v>Tag</v>
      </c>
      <c r="Q65" s="4" t="s">
        <v>14</v>
      </c>
      <c r="R65" s="4"/>
      <c r="S65" s="4" t="s">
        <v>14</v>
      </c>
      <c r="T65" s="6" t="str">
        <f>HYPERLINK("https://www.bioscidb.com/tag/gettag/1d309cbe-1477-45f1-94bf-ae21ad5dba0c","Tag")</f>
        <v>Tag</v>
      </c>
      <c r="U65" s="8"/>
      <c r="V65" s="4"/>
      <c r="W65" s="1" t="s">
        <v>14</v>
      </c>
      <c r="X65" s="1" t="s">
        <v>14</v>
      </c>
      <c r="Y65" s="1" t="s">
        <v>14</v>
      </c>
      <c r="Z65" s="1" t="s">
        <v>84</v>
      </c>
      <c r="AA65" s="1" t="s">
        <v>647</v>
      </c>
    </row>
    <row r="66" spans="1:27" ht="12.75">
      <c r="A66" s="3" t="s">
        <v>191</v>
      </c>
      <c r="B66" s="1" t="s">
        <v>632</v>
      </c>
      <c r="C66" s="1" t="s">
        <v>262</v>
      </c>
      <c r="D66" s="1" t="s">
        <v>67</v>
      </c>
      <c r="E66" s="6" t="str">
        <f>HYPERLINK("https://www.bioscidb.com/browse/deal_bg/11642","Link")</f>
        <v>Link</v>
      </c>
      <c r="F66" s="1" t="s">
        <v>69</v>
      </c>
      <c r="G66" s="16" t="s">
        <v>30</v>
      </c>
      <c r="H66" s="4">
        <v>553</v>
      </c>
      <c r="I66" s="4">
        <v>137</v>
      </c>
      <c r="J66" s="4" t="s">
        <v>14</v>
      </c>
      <c r="K66" s="20">
        <f>I66/H66</f>
        <v>0.24773960216998192</v>
      </c>
      <c r="L66" s="5" t="s">
        <v>14</v>
      </c>
      <c r="M66" s="4" t="s">
        <v>14</v>
      </c>
      <c r="N66" s="4"/>
      <c r="O66" s="4" t="s">
        <v>14</v>
      </c>
      <c r="P66" s="4"/>
      <c r="Q66" s="4" t="s">
        <v>14</v>
      </c>
      <c r="R66" s="4"/>
      <c r="S66" s="4" t="s">
        <v>14</v>
      </c>
      <c r="T66" s="4"/>
      <c r="U66" s="8"/>
      <c r="V66" s="4"/>
      <c r="W66" s="1" t="s">
        <v>14</v>
      </c>
      <c r="X66" s="1" t="s">
        <v>79</v>
      </c>
      <c r="Y66" s="1" t="s">
        <v>55</v>
      </c>
      <c r="Z66" s="1" t="s">
        <v>383</v>
      </c>
      <c r="AA66" s="1" t="s">
        <v>633</v>
      </c>
    </row>
    <row r="67" spans="1:27" ht="12.75">
      <c r="A67" s="3" t="s">
        <v>654</v>
      </c>
      <c r="B67" s="1" t="s">
        <v>655</v>
      </c>
      <c r="C67" s="1" t="s">
        <v>656</v>
      </c>
      <c r="D67" s="1" t="s">
        <v>90</v>
      </c>
      <c r="E67" s="6" t="str">
        <f>HYPERLINK("https://www.bioscidb.com/browse/deal_bg/11502","Link")</f>
        <v>Link</v>
      </c>
      <c r="F67" s="1" t="s">
        <v>45</v>
      </c>
      <c r="G67" s="16" t="s">
        <v>100</v>
      </c>
      <c r="H67" s="4">
        <v>100</v>
      </c>
      <c r="I67" s="4">
        <v>10</v>
      </c>
      <c r="J67" s="4">
        <v>10</v>
      </c>
      <c r="K67" s="20">
        <f>(I67+J67)/H67</f>
        <v>0.2</v>
      </c>
      <c r="L67" s="5" t="s">
        <v>14</v>
      </c>
      <c r="M67" s="4" t="s">
        <v>14</v>
      </c>
      <c r="N67" s="4"/>
      <c r="O67" s="4" t="s">
        <v>14</v>
      </c>
      <c r="P67" s="4"/>
      <c r="Q67" s="4" t="s">
        <v>14</v>
      </c>
      <c r="R67" s="4"/>
      <c r="S67" s="4" t="s">
        <v>14</v>
      </c>
      <c r="T67" s="4"/>
      <c r="U67" s="8"/>
      <c r="V67" s="4"/>
      <c r="W67" s="1" t="s">
        <v>14</v>
      </c>
      <c r="X67" s="1" t="s">
        <v>211</v>
      </c>
      <c r="Y67" s="1" t="s">
        <v>203</v>
      </c>
      <c r="Z67" s="1" t="s">
        <v>22</v>
      </c>
      <c r="AA67" s="1" t="s">
        <v>657</v>
      </c>
    </row>
    <row r="68" spans="1:27" ht="12.75">
      <c r="A68" s="3" t="s">
        <v>623</v>
      </c>
      <c r="B68" s="1" t="s">
        <v>624</v>
      </c>
      <c r="C68" s="1" t="s">
        <v>625</v>
      </c>
      <c r="D68" s="17" t="s">
        <v>986</v>
      </c>
      <c r="E68" s="6" t="str">
        <f>HYPERLINK("https://www.bioscidb.com/browse/deal_bg/11217","Link")</f>
        <v>Link</v>
      </c>
      <c r="F68" s="1" t="s">
        <v>69</v>
      </c>
      <c r="G68" s="16" t="s">
        <v>100</v>
      </c>
      <c r="H68" s="4">
        <v>290</v>
      </c>
      <c r="I68" s="4" t="s">
        <v>14</v>
      </c>
      <c r="J68" s="4" t="s">
        <v>14</v>
      </c>
      <c r="K68" s="20"/>
      <c r="L68" s="5" t="s">
        <v>14</v>
      </c>
      <c r="M68" s="4" t="s">
        <v>14</v>
      </c>
      <c r="N68" s="4"/>
      <c r="O68" s="4" t="s">
        <v>14</v>
      </c>
      <c r="P68" s="4"/>
      <c r="Q68" s="4" t="s">
        <v>14</v>
      </c>
      <c r="R68" s="4"/>
      <c r="S68" s="4" t="s">
        <v>14</v>
      </c>
      <c r="T68" s="4"/>
      <c r="U68" s="8"/>
      <c r="V68" s="4"/>
      <c r="W68" s="1" t="s">
        <v>14</v>
      </c>
      <c r="X68" s="1" t="s">
        <v>14</v>
      </c>
      <c r="Y68" s="1" t="s">
        <v>14</v>
      </c>
      <c r="Z68" s="1" t="s">
        <v>14</v>
      </c>
      <c r="AA68" s="1" t="s">
        <v>626</v>
      </c>
    </row>
    <row r="69" spans="1:27" ht="12.75">
      <c r="A69" s="3" t="s">
        <v>623</v>
      </c>
      <c r="B69" s="1" t="s">
        <v>778</v>
      </c>
      <c r="C69" s="1" t="s">
        <v>779</v>
      </c>
      <c r="D69" s="1" t="s">
        <v>131</v>
      </c>
      <c r="E69" s="6" t="str">
        <f>HYPERLINK("https://www.bioscidb.com/browse/deal_bg/11427","Link")</f>
        <v>Link</v>
      </c>
      <c r="F69" s="1" t="s">
        <v>27</v>
      </c>
      <c r="G69" s="16" t="s">
        <v>82</v>
      </c>
      <c r="H69" s="4">
        <v>34</v>
      </c>
      <c r="I69" s="4">
        <v>20</v>
      </c>
      <c r="J69" s="4" t="s">
        <v>14</v>
      </c>
      <c r="K69" s="20">
        <f>I69/H69</f>
        <v>0.5882352941176471</v>
      </c>
      <c r="L69" s="5" t="s">
        <v>14</v>
      </c>
      <c r="M69" s="4" t="s">
        <v>14</v>
      </c>
      <c r="N69" s="4"/>
      <c r="O69" s="4" t="s">
        <v>14</v>
      </c>
      <c r="P69" s="4"/>
      <c r="Q69" s="4">
        <v>14</v>
      </c>
      <c r="R69" s="4"/>
      <c r="S69" s="4" t="s">
        <v>14</v>
      </c>
      <c r="T69" s="4"/>
      <c r="U69" s="8"/>
      <c r="V69" s="4"/>
      <c r="W69" s="1" t="s">
        <v>14</v>
      </c>
      <c r="X69" s="1" t="s">
        <v>211</v>
      </c>
      <c r="Y69" s="1" t="s">
        <v>14</v>
      </c>
      <c r="Z69" s="1" t="s">
        <v>14</v>
      </c>
      <c r="AA69" s="1" t="s">
        <v>14</v>
      </c>
    </row>
    <row r="70" spans="1:27" ht="12.75">
      <c r="A70" s="3" t="s">
        <v>627</v>
      </c>
      <c r="B70" s="1" t="s">
        <v>628</v>
      </c>
      <c r="C70" s="1" t="s">
        <v>629</v>
      </c>
      <c r="D70" s="17" t="s">
        <v>90</v>
      </c>
      <c r="E70" s="6" t="str">
        <f>HYPERLINK("https://www.bioscidb.com/browse/deal_bg/10880","Link")</f>
        <v>Link</v>
      </c>
      <c r="F70" s="1" t="s">
        <v>45</v>
      </c>
      <c r="G70" s="16" t="s">
        <v>630</v>
      </c>
      <c r="H70" s="4">
        <v>48.65</v>
      </c>
      <c r="I70" s="4">
        <v>0.35</v>
      </c>
      <c r="J70" s="4" t="s">
        <v>14</v>
      </c>
      <c r="K70" s="20">
        <f>I70/H70</f>
        <v>0.007194244604316546</v>
      </c>
      <c r="L70" s="5" t="s">
        <v>14</v>
      </c>
      <c r="M70" s="4">
        <v>14.7</v>
      </c>
      <c r="N70" s="4"/>
      <c r="O70" s="4" t="s">
        <v>14</v>
      </c>
      <c r="P70" s="4"/>
      <c r="Q70" s="4">
        <v>33.6</v>
      </c>
      <c r="R70" s="4"/>
      <c r="S70" s="4" t="s">
        <v>14</v>
      </c>
      <c r="T70" s="4"/>
      <c r="U70" s="8"/>
      <c r="V70" s="4"/>
      <c r="W70" s="1" t="s">
        <v>14</v>
      </c>
      <c r="X70" s="1" t="s">
        <v>211</v>
      </c>
      <c r="Y70" s="1" t="s">
        <v>139</v>
      </c>
      <c r="Z70" s="1" t="s">
        <v>22</v>
      </c>
      <c r="AA70" s="1" t="s">
        <v>631</v>
      </c>
    </row>
    <row r="71" spans="1:27" ht="12.75">
      <c r="A71" s="3" t="s">
        <v>627</v>
      </c>
      <c r="B71" s="1" t="s">
        <v>641</v>
      </c>
      <c r="C71" s="1" t="s">
        <v>642</v>
      </c>
      <c r="D71" s="1" t="s">
        <v>159</v>
      </c>
      <c r="E71" s="6" t="str">
        <f>HYPERLINK("https://www.bioscidb.com/browse/deal_bg/10734","Link")</f>
        <v>Link</v>
      </c>
      <c r="F71" s="1" t="s">
        <v>27</v>
      </c>
      <c r="G71" s="16" t="s">
        <v>643</v>
      </c>
      <c r="H71" s="4">
        <v>209</v>
      </c>
      <c r="I71" s="4">
        <v>55</v>
      </c>
      <c r="J71" s="4" t="s">
        <v>14</v>
      </c>
      <c r="K71" s="20">
        <f>I71/H71</f>
        <v>0.2631578947368421</v>
      </c>
      <c r="L71" s="5" t="s">
        <v>19</v>
      </c>
      <c r="M71" s="4">
        <v>64</v>
      </c>
      <c r="N71" s="6" t="str">
        <f>HYPERLINK("https://www.bioscidb.com/tag/gettag/615306f3-9e09-4201-9bdc-968a6fc672e0","Tag")</f>
        <v>Tag</v>
      </c>
      <c r="O71" s="4">
        <v>31</v>
      </c>
      <c r="P71" s="6" t="str">
        <f>HYPERLINK("https://www.bioscidb.com/tag/gettag/615306f3-9e09-4201-9bdc-968a6fc672e0","Tag")</f>
        <v>Tag</v>
      </c>
      <c r="Q71" s="4">
        <v>59</v>
      </c>
      <c r="R71" s="6" t="str">
        <f>HYPERLINK("https://www.bioscidb.com/tag/gettag/615306f3-9e09-4201-9bdc-968a6fc672e0","Tag")</f>
        <v>Tag</v>
      </c>
      <c r="S71" s="4" t="s">
        <v>14</v>
      </c>
      <c r="T71" s="6" t="str">
        <f>HYPERLINK("https://www.bioscidb.com/tag/gettag/689564fa-bc1b-412c-b03a-ed56111f34c3","Tag")</f>
        <v>Tag</v>
      </c>
      <c r="U71" s="8">
        <v>3</v>
      </c>
      <c r="V71" s="6" t="str">
        <f>HYPERLINK("https://www.bioscidb.com/tag/gettag/28217264-bfde-42e7-b0db-def709e3a1bd","Tag")</f>
        <v>Tag</v>
      </c>
      <c r="W71" s="1" t="s">
        <v>211</v>
      </c>
      <c r="X71" s="1" t="s">
        <v>14</v>
      </c>
      <c r="Y71" s="1" t="s">
        <v>139</v>
      </c>
      <c r="Z71" s="1" t="s">
        <v>32</v>
      </c>
      <c r="AA71" s="1" t="s">
        <v>644</v>
      </c>
    </row>
    <row r="72" spans="1:27" ht="25.5">
      <c r="A72" s="3" t="s">
        <v>607</v>
      </c>
      <c r="B72" s="1" t="s">
        <v>608</v>
      </c>
      <c r="C72" s="1" t="s">
        <v>609</v>
      </c>
      <c r="D72" s="17" t="s">
        <v>43</v>
      </c>
      <c r="E72" s="6" t="str">
        <f>HYPERLINK("https://www.bioscidb.com/browse/deal_bg/10578","Link")</f>
        <v>Link</v>
      </c>
      <c r="F72" s="1" t="s">
        <v>27</v>
      </c>
      <c r="G72" s="16" t="s">
        <v>610</v>
      </c>
      <c r="H72" s="4">
        <v>250</v>
      </c>
      <c r="I72" s="4">
        <v>160</v>
      </c>
      <c r="J72" s="4" t="s">
        <v>14</v>
      </c>
      <c r="K72" s="20">
        <f>I72/H72</f>
        <v>0.64</v>
      </c>
      <c r="L72" s="5" t="s">
        <v>19</v>
      </c>
      <c r="M72" s="4">
        <v>90</v>
      </c>
      <c r="N72" s="6" t="str">
        <f>HYPERLINK("https://www.bioscidb.com/tag/gettag/c2153593-b0ed-421d-b00e-a7aef089e6c7","Tag")</f>
        <v>Tag</v>
      </c>
      <c r="O72" s="4" t="s">
        <v>14</v>
      </c>
      <c r="P72" s="4"/>
      <c r="Q72" s="4" t="s">
        <v>14</v>
      </c>
      <c r="R72" s="4"/>
      <c r="S72" s="4" t="s">
        <v>14</v>
      </c>
      <c r="T72" s="4"/>
      <c r="U72" s="8"/>
      <c r="V72" s="4"/>
      <c r="W72" s="1" t="s">
        <v>211</v>
      </c>
      <c r="X72" s="1" t="s">
        <v>23</v>
      </c>
      <c r="Y72" s="1" t="s">
        <v>61</v>
      </c>
      <c r="Z72" s="1" t="s">
        <v>22</v>
      </c>
      <c r="AA72" s="1" t="s">
        <v>14</v>
      </c>
    </row>
    <row r="73" spans="1:27" ht="12.75">
      <c r="A73" s="3" t="s">
        <v>594</v>
      </c>
      <c r="B73" s="1" t="s">
        <v>601</v>
      </c>
      <c r="C73" s="1" t="s">
        <v>602</v>
      </c>
      <c r="D73" s="1" t="s">
        <v>50</v>
      </c>
      <c r="E73" s="6" t="str">
        <f>HYPERLINK("https://www.bioscidb.com/browse/deal_bg/10098","Link")</f>
        <v>Link</v>
      </c>
      <c r="F73" s="1" t="s">
        <v>27</v>
      </c>
      <c r="G73" s="16" t="s">
        <v>603</v>
      </c>
      <c r="H73" s="4">
        <v>12.6</v>
      </c>
      <c r="I73" s="4" t="s">
        <v>14</v>
      </c>
      <c r="J73" s="4">
        <v>12.6</v>
      </c>
      <c r="K73" s="20"/>
      <c r="L73" s="5" t="s">
        <v>14</v>
      </c>
      <c r="M73" s="4" t="s">
        <v>14</v>
      </c>
      <c r="N73" s="4"/>
      <c r="O73" s="4" t="s">
        <v>14</v>
      </c>
      <c r="P73" s="4"/>
      <c r="Q73" s="4" t="s">
        <v>14</v>
      </c>
      <c r="R73" s="4"/>
      <c r="S73" s="4" t="s">
        <v>14</v>
      </c>
      <c r="T73" s="4"/>
      <c r="U73" s="8"/>
      <c r="V73" s="4"/>
      <c r="W73" s="1" t="s">
        <v>14</v>
      </c>
      <c r="X73" s="1" t="s">
        <v>14</v>
      </c>
      <c r="Y73" s="1" t="s">
        <v>605</v>
      </c>
      <c r="Z73" s="1" t="s">
        <v>606</v>
      </c>
      <c r="AA73" s="1" t="s">
        <v>604</v>
      </c>
    </row>
    <row r="74" spans="1:27" ht="12.75">
      <c r="A74" s="3" t="s">
        <v>594</v>
      </c>
      <c r="B74" s="1" t="s">
        <v>595</v>
      </c>
      <c r="C74" s="1" t="s">
        <v>71</v>
      </c>
      <c r="D74" s="1" t="s">
        <v>90</v>
      </c>
      <c r="E74" s="6" t="str">
        <f>HYPERLINK("https://www.bioscidb.com/browse/deal_bg/10258","Link")</f>
        <v>Link</v>
      </c>
      <c r="F74" s="1" t="s">
        <v>69</v>
      </c>
      <c r="G74" s="16" t="s">
        <v>30</v>
      </c>
      <c r="H74" s="4">
        <v>775</v>
      </c>
      <c r="I74" s="4">
        <v>300</v>
      </c>
      <c r="J74" s="4" t="s">
        <v>14</v>
      </c>
      <c r="K74" s="20">
        <f>I74/H74</f>
        <v>0.3870967741935484</v>
      </c>
      <c r="L74" s="5" t="s">
        <v>14</v>
      </c>
      <c r="M74" s="4" t="s">
        <v>14</v>
      </c>
      <c r="N74" s="4"/>
      <c r="O74" s="4" t="s">
        <v>14</v>
      </c>
      <c r="P74" s="4"/>
      <c r="Q74" s="4" t="s">
        <v>14</v>
      </c>
      <c r="R74" s="4"/>
      <c r="S74" s="4" t="s">
        <v>14</v>
      </c>
      <c r="T74" s="4"/>
      <c r="U74" s="8"/>
      <c r="V74" s="4"/>
      <c r="W74" s="1" t="s">
        <v>14</v>
      </c>
      <c r="X74" s="1" t="s">
        <v>23</v>
      </c>
      <c r="Y74" s="1" t="s">
        <v>203</v>
      </c>
      <c r="Z74" s="1" t="s">
        <v>14</v>
      </c>
      <c r="AA74" s="1" t="s">
        <v>596</v>
      </c>
    </row>
    <row r="75" spans="1:27" ht="12.75">
      <c r="A75" s="3" t="s">
        <v>591</v>
      </c>
      <c r="B75" s="1" t="s">
        <v>613</v>
      </c>
      <c r="C75" s="1" t="s">
        <v>614</v>
      </c>
      <c r="D75" s="17" t="s">
        <v>43</v>
      </c>
      <c r="E75" s="6" t="str">
        <f>HYPERLINK("https://www.bioscidb.com/browse/deal_bg/10677","Link")</f>
        <v>Link</v>
      </c>
      <c r="F75" s="1" t="s">
        <v>27</v>
      </c>
      <c r="G75" s="16" t="s">
        <v>615</v>
      </c>
      <c r="H75" s="4">
        <v>48.5</v>
      </c>
      <c r="I75" s="4" t="s">
        <v>14</v>
      </c>
      <c r="J75" s="4" t="s">
        <v>14</v>
      </c>
      <c r="K75" s="20"/>
      <c r="L75" s="5" t="s">
        <v>19</v>
      </c>
      <c r="M75" s="4" t="s">
        <v>14</v>
      </c>
      <c r="N75" s="6" t="str">
        <f>HYPERLINK("https://www.bioscidb.com/tag/gettag/dd7716e3-c9ea-41fe-be57-c70c4493fc65","Tag")</f>
        <v>Tag</v>
      </c>
      <c r="O75" s="4" t="s">
        <v>14</v>
      </c>
      <c r="P75" s="4"/>
      <c r="Q75" s="4">
        <v>30</v>
      </c>
      <c r="R75" s="6" t="str">
        <f>HYPERLINK("https://www.bioscidb.com/tag/gettag/5180cfce-ce74-4c5e-bebf-d6ed627d1fe2","Tag")</f>
        <v>Tag</v>
      </c>
      <c r="S75" s="4" t="s">
        <v>14</v>
      </c>
      <c r="T75" s="6" t="str">
        <f>HYPERLINK("https://www.bioscidb.com/tag/gettag/e420075b-5b16-414c-9532-3ac1e1c85a9b","Tag")</f>
        <v>Tag</v>
      </c>
      <c r="U75" s="9">
        <v>14</v>
      </c>
      <c r="V75" s="6" t="str">
        <f>HYPERLINK("https://www.bioscidb.com/tag/gettag/24201a46-e60d-4b7b-a310-3bfe930527d6","Tag")</f>
        <v>Tag</v>
      </c>
      <c r="W75" s="1" t="s">
        <v>14</v>
      </c>
      <c r="X75" s="1" t="s">
        <v>211</v>
      </c>
      <c r="Y75" s="1" t="s">
        <v>49</v>
      </c>
      <c r="Z75" s="1" t="s">
        <v>14</v>
      </c>
      <c r="AA75" s="1" t="s">
        <v>616</v>
      </c>
    </row>
    <row r="76" spans="1:27" ht="25.5">
      <c r="A76" s="3" t="s">
        <v>591</v>
      </c>
      <c r="B76" s="1" t="s">
        <v>700</v>
      </c>
      <c r="C76" s="1" t="s">
        <v>701</v>
      </c>
      <c r="D76" s="17" t="s">
        <v>986</v>
      </c>
      <c r="E76" s="6" t="str">
        <f>HYPERLINK("https://www.bioscidb.com/browse/deal_bg/10071","Link")</f>
        <v>Link</v>
      </c>
      <c r="F76" s="1" t="s">
        <v>45</v>
      </c>
      <c r="G76" s="16" t="s">
        <v>702</v>
      </c>
      <c r="H76" s="4">
        <v>119.6</v>
      </c>
      <c r="I76" s="4" t="s">
        <v>14</v>
      </c>
      <c r="J76" s="4">
        <v>41.1</v>
      </c>
      <c r="K76" s="20">
        <f>J76/H76</f>
        <v>0.3436454849498328</v>
      </c>
      <c r="L76" s="5" t="s">
        <v>14</v>
      </c>
      <c r="M76" s="4" t="s">
        <v>14</v>
      </c>
      <c r="N76" s="4"/>
      <c r="O76" s="4">
        <v>10</v>
      </c>
      <c r="P76" s="4"/>
      <c r="Q76" s="4">
        <v>60</v>
      </c>
      <c r="R76" s="4"/>
      <c r="S76" s="4" t="s">
        <v>14</v>
      </c>
      <c r="T76" s="4"/>
      <c r="U76" s="8"/>
      <c r="V76" s="4"/>
      <c r="W76" s="1" t="s">
        <v>23</v>
      </c>
      <c r="X76" s="1" t="s">
        <v>211</v>
      </c>
      <c r="Y76" s="1" t="s">
        <v>704</v>
      </c>
      <c r="Z76" s="1" t="s">
        <v>383</v>
      </c>
      <c r="AA76" s="1" t="s">
        <v>703</v>
      </c>
    </row>
    <row r="77" spans="1:27" ht="12.75">
      <c r="A77" s="3" t="s">
        <v>591</v>
      </c>
      <c r="B77" s="1" t="s">
        <v>592</v>
      </c>
      <c r="C77" s="1" t="s">
        <v>120</v>
      </c>
      <c r="D77" s="1" t="s">
        <v>43</v>
      </c>
      <c r="E77" s="6" t="str">
        <f>HYPERLINK("https://www.bioscidb.com/browse/deal_bg/9999","Link")</f>
        <v>Link</v>
      </c>
      <c r="F77" s="1" t="s">
        <v>69</v>
      </c>
      <c r="G77" s="16" t="s">
        <v>30</v>
      </c>
      <c r="H77" s="4">
        <v>420</v>
      </c>
      <c r="I77" s="4">
        <v>325</v>
      </c>
      <c r="J77" s="4" t="s">
        <v>14</v>
      </c>
      <c r="K77" s="20">
        <f>I77/H77</f>
        <v>0.7738095238095238</v>
      </c>
      <c r="L77" s="5" t="s">
        <v>14</v>
      </c>
      <c r="M77" s="4">
        <v>95</v>
      </c>
      <c r="N77" s="4"/>
      <c r="O77" s="4" t="s">
        <v>14</v>
      </c>
      <c r="P77" s="4"/>
      <c r="Q77" s="4" t="s">
        <v>14</v>
      </c>
      <c r="R77" s="4"/>
      <c r="S77" s="4" t="s">
        <v>14</v>
      </c>
      <c r="T77" s="4"/>
      <c r="U77" s="8"/>
      <c r="V77" s="4"/>
      <c r="W77" s="1" t="s">
        <v>14</v>
      </c>
      <c r="X77" s="1" t="s">
        <v>79</v>
      </c>
      <c r="Y77" s="1" t="s">
        <v>143</v>
      </c>
      <c r="Z77" s="1" t="s">
        <v>22</v>
      </c>
      <c r="AA77" s="1" t="s">
        <v>593</v>
      </c>
    </row>
    <row r="78" spans="1:27" ht="12.75">
      <c r="A78" s="3" t="s">
        <v>570</v>
      </c>
      <c r="B78" s="1" t="s">
        <v>571</v>
      </c>
      <c r="C78" s="1" t="s">
        <v>572</v>
      </c>
      <c r="D78" s="1" t="s">
        <v>67</v>
      </c>
      <c r="E78" s="6" t="str">
        <f>HYPERLINK("https://www.bioscidb.com/browse/deal_bg/9766","Link")</f>
        <v>Link</v>
      </c>
      <c r="F78" s="1" t="s">
        <v>27</v>
      </c>
      <c r="G78" s="16" t="s">
        <v>573</v>
      </c>
      <c r="H78" s="4">
        <v>237.5</v>
      </c>
      <c r="I78" s="4" t="s">
        <v>14</v>
      </c>
      <c r="J78" s="4">
        <v>62.5</v>
      </c>
      <c r="K78" s="20">
        <f>J78/H78</f>
        <v>0.2631578947368421</v>
      </c>
      <c r="L78" s="5" t="s">
        <v>19</v>
      </c>
      <c r="M78" s="4">
        <v>140</v>
      </c>
      <c r="N78" s="6" t="str">
        <f>HYPERLINK("https://www.bioscidb.com/tag/gettag/216f458a-317e-485a-963f-ab83054670c3","Tag")</f>
        <v>Tag</v>
      </c>
      <c r="O78" s="4">
        <v>10</v>
      </c>
      <c r="P78" s="6" t="str">
        <f>HYPERLINK("https://www.bioscidb.com/tag/gettag/7947736d-ac7f-4b92-a9f1-25e11283551c","Tag")</f>
        <v>Tag</v>
      </c>
      <c r="Q78" s="4">
        <v>25</v>
      </c>
      <c r="R78" s="6" t="str">
        <f>HYPERLINK("https://www.bioscidb.com/tag/gettag/07d8c606-32c7-4607-8817-f8aa21b54d8f","Tag")</f>
        <v>Tag</v>
      </c>
      <c r="S78" s="4" t="s">
        <v>14</v>
      </c>
      <c r="T78" s="6" t="str">
        <f>HYPERLINK("https://www.bioscidb.com/tag/gettag/8c115ca8-78e5-4792-8bff-628bcd23972b","Tag")</f>
        <v>Tag</v>
      </c>
      <c r="U78" s="8">
        <v>15</v>
      </c>
      <c r="V78" s="6" t="str">
        <f>HYPERLINK("https://www.bioscidb.com/tag/gettag/e7208dae-a790-4ef6-8146-602b23ad30dc","Tag")</f>
        <v>Tag</v>
      </c>
      <c r="W78" s="1" t="s">
        <v>14</v>
      </c>
      <c r="X78" s="1" t="s">
        <v>14</v>
      </c>
      <c r="Y78" s="1" t="s">
        <v>55</v>
      </c>
      <c r="Z78" s="1" t="s">
        <v>84</v>
      </c>
      <c r="AA78" s="1" t="s">
        <v>574</v>
      </c>
    </row>
    <row r="79" spans="1:27" ht="25.5">
      <c r="A79" s="3" t="s">
        <v>570</v>
      </c>
      <c r="B79" s="1" t="s">
        <v>597</v>
      </c>
      <c r="C79" s="1" t="s">
        <v>598</v>
      </c>
      <c r="D79" s="1" t="s">
        <v>280</v>
      </c>
      <c r="E79" s="6" t="str">
        <f>HYPERLINK("https://www.bioscidb.com/browse/deal_bg/9547","Link")</f>
        <v>Link</v>
      </c>
      <c r="F79" s="1" t="s">
        <v>27</v>
      </c>
      <c r="G79" s="16" t="s">
        <v>599</v>
      </c>
      <c r="H79" s="4">
        <v>150</v>
      </c>
      <c r="I79" s="4">
        <v>80</v>
      </c>
      <c r="J79" s="4" t="s">
        <v>14</v>
      </c>
      <c r="K79" s="20">
        <f>I79/H79</f>
        <v>0.5333333333333333</v>
      </c>
      <c r="L79" s="5" t="s">
        <v>19</v>
      </c>
      <c r="M79" s="4" t="s">
        <v>14</v>
      </c>
      <c r="N79" s="4"/>
      <c r="O79" s="4" t="s">
        <v>14</v>
      </c>
      <c r="P79" s="4"/>
      <c r="Q79" s="4">
        <v>70</v>
      </c>
      <c r="R79" s="6" t="str">
        <f>HYPERLINK("https://www.bioscidb.com/tag/gettag/8c51fb07-08a8-442e-a71f-5bfccd6f05ed","Tag")</f>
        <v>Tag</v>
      </c>
      <c r="S79" s="4">
        <v>8</v>
      </c>
      <c r="T79" s="6" t="str">
        <f>HYPERLINK("https://www.bioscidb.com/tag/gettag/c73ac2e6-b90c-469b-aaa3-61a35b1d5e5c","Tag")</f>
        <v>Tag</v>
      </c>
      <c r="U79" s="8">
        <v>10.5</v>
      </c>
      <c r="V79" s="6" t="str">
        <f>HYPERLINK("https://www.bioscidb.com/tag/gettag/3088bd4e-0243-4999-a7b7-ad88b74c60e5","Tag")</f>
        <v>Tag</v>
      </c>
      <c r="W79" s="1" t="s">
        <v>14</v>
      </c>
      <c r="X79" s="1" t="s">
        <v>14</v>
      </c>
      <c r="Y79" s="1" t="s">
        <v>55</v>
      </c>
      <c r="Z79" s="1" t="s">
        <v>286</v>
      </c>
      <c r="AA79" s="1" t="s">
        <v>600</v>
      </c>
    </row>
    <row r="80" spans="1:27" ht="12.75">
      <c r="A80" s="3" t="s">
        <v>570</v>
      </c>
      <c r="B80" s="1" t="s">
        <v>579</v>
      </c>
      <c r="C80" s="1" t="s">
        <v>580</v>
      </c>
      <c r="D80" s="1" t="s">
        <v>43</v>
      </c>
      <c r="E80" s="6" t="str">
        <f>HYPERLINK("https://www.bioscidb.com/browse/deal_bg/9775","Link")</f>
        <v>Link</v>
      </c>
      <c r="F80" s="1" t="s">
        <v>27</v>
      </c>
      <c r="G80" s="16" t="s">
        <v>581</v>
      </c>
      <c r="H80" s="4">
        <v>165</v>
      </c>
      <c r="I80" s="4">
        <v>12</v>
      </c>
      <c r="J80" s="4" t="s">
        <v>14</v>
      </c>
      <c r="K80" s="20">
        <f>I80/H80</f>
        <v>0.07272727272727272</v>
      </c>
      <c r="L80" s="5" t="s">
        <v>19</v>
      </c>
      <c r="M80" s="4">
        <v>7</v>
      </c>
      <c r="N80" s="6" t="str">
        <f>HYPERLINK("https://www.bioscidb.com/tag/gettag/1cbec055-9aeb-428d-9b95-c7e9cd73b3e5","Tag")</f>
        <v>Tag</v>
      </c>
      <c r="O80" s="4">
        <v>25</v>
      </c>
      <c r="P80" s="6" t="str">
        <f>HYPERLINK("https://www.bioscidb.com/tag/gettag/553f16f8-b641-4412-b816-3e4cca2d3eb2","Tag")</f>
        <v>Tag</v>
      </c>
      <c r="Q80" s="4">
        <v>121</v>
      </c>
      <c r="R80" s="6" t="str">
        <f>HYPERLINK("https://www.bioscidb.com/tag/gettag/a0cc6371-bf09-42b3-b269-723be993f608","Tag")</f>
        <v>Tag</v>
      </c>
      <c r="S80" s="4">
        <v>10</v>
      </c>
      <c r="T80" s="6" t="str">
        <f>HYPERLINK("https://www.bioscidb.com/tag/gettag/1ced372b-c2a3-47e6-bf04-1fcd8d2662ff","Tag")</f>
        <v>Tag</v>
      </c>
      <c r="U80" s="8"/>
      <c r="V80" s="4"/>
      <c r="W80" s="1" t="s">
        <v>211</v>
      </c>
      <c r="X80" s="1" t="s">
        <v>14</v>
      </c>
      <c r="Y80" s="1" t="s">
        <v>55</v>
      </c>
      <c r="Z80" s="1" t="s">
        <v>89</v>
      </c>
      <c r="AA80" s="1" t="s">
        <v>582</v>
      </c>
    </row>
    <row r="81" spans="1:27" ht="12.75">
      <c r="A81" s="3" t="s">
        <v>560</v>
      </c>
      <c r="B81" s="1" t="s">
        <v>561</v>
      </c>
      <c r="C81" s="1" t="s">
        <v>562</v>
      </c>
      <c r="D81" s="1" t="s">
        <v>280</v>
      </c>
      <c r="E81" s="6" t="str">
        <f>HYPERLINK("https://www.bioscidb.com/browse/deal_bg/9726","Link")</f>
        <v>Link</v>
      </c>
      <c r="F81" s="1" t="s">
        <v>69</v>
      </c>
      <c r="G81" s="16" t="s">
        <v>30</v>
      </c>
      <c r="H81" s="4">
        <v>12</v>
      </c>
      <c r="I81" s="4">
        <v>6</v>
      </c>
      <c r="J81" s="4" t="s">
        <v>14</v>
      </c>
      <c r="K81" s="20">
        <f>I81/H81</f>
        <v>0.5</v>
      </c>
      <c r="L81" s="5" t="s">
        <v>14</v>
      </c>
      <c r="M81" s="4" t="s">
        <v>14</v>
      </c>
      <c r="N81" s="4"/>
      <c r="O81" s="4" t="s">
        <v>14</v>
      </c>
      <c r="P81" s="4"/>
      <c r="Q81" s="4">
        <v>6</v>
      </c>
      <c r="R81" s="4"/>
      <c r="S81" s="4" t="s">
        <v>14</v>
      </c>
      <c r="T81" s="4"/>
      <c r="U81" s="8"/>
      <c r="V81" s="4"/>
      <c r="W81" s="1" t="s">
        <v>14</v>
      </c>
      <c r="X81" s="1" t="s">
        <v>211</v>
      </c>
      <c r="Y81" s="1" t="s">
        <v>14</v>
      </c>
      <c r="Z81" s="1" t="s">
        <v>286</v>
      </c>
      <c r="AA81" s="1" t="s">
        <v>14</v>
      </c>
    </row>
    <row r="82" spans="1:27" ht="12.75">
      <c r="A82" s="3" t="s">
        <v>559</v>
      </c>
      <c r="B82" s="1" t="s">
        <v>566</v>
      </c>
      <c r="C82" s="1" t="s">
        <v>466</v>
      </c>
      <c r="D82" s="1" t="s">
        <v>43</v>
      </c>
      <c r="E82" s="6" t="str">
        <f>HYPERLINK("https://www.bioscidb.com/browse/deal_bg/9595","Link")</f>
        <v>Link</v>
      </c>
      <c r="F82" s="1" t="s">
        <v>27</v>
      </c>
      <c r="G82" s="16" t="s">
        <v>567</v>
      </c>
      <c r="H82" s="4">
        <v>1481</v>
      </c>
      <c r="I82" s="4">
        <v>537</v>
      </c>
      <c r="J82" s="4" t="s">
        <v>14</v>
      </c>
      <c r="K82" s="20">
        <f>I82/H82</f>
        <v>0.362592842673869</v>
      </c>
      <c r="L82" s="5" t="s">
        <v>19</v>
      </c>
      <c r="M82" s="4">
        <v>602</v>
      </c>
      <c r="N82" s="6" t="str">
        <f>HYPERLINK("https://www.bioscidb.com/tag/gettag/9e6015f9-208c-4da8-b580-75341c490b3b","Tag")</f>
        <v>Tag</v>
      </c>
      <c r="O82" s="4" t="s">
        <v>14</v>
      </c>
      <c r="P82" s="4"/>
      <c r="Q82" s="4">
        <v>342</v>
      </c>
      <c r="R82" s="6" t="str">
        <f>HYPERLINK("https://www.bioscidb.com/tag/gettag/59e6d607-0939-4166-9d31-6b5cb0af9e91","Tag")</f>
        <v>Tag</v>
      </c>
      <c r="S82" s="4" t="s">
        <v>14</v>
      </c>
      <c r="T82" s="6" t="str">
        <f>HYPERLINK("https://www.bioscidb.com/tag/gettag/373b3de3-b360-435b-b3e5-9069f4074acf","Tag")</f>
        <v>Tag</v>
      </c>
      <c r="U82" s="8">
        <v>12.2</v>
      </c>
      <c r="V82" s="6" t="str">
        <f>HYPERLINK("https://www.bioscidb.com/tag/gettag/481fbb9c-c6b7-4b4e-88e1-7e716967871c","Tag")</f>
        <v>Tag</v>
      </c>
      <c r="W82" s="1" t="s">
        <v>211</v>
      </c>
      <c r="X82" s="1" t="s">
        <v>66</v>
      </c>
      <c r="Y82" s="1" t="s">
        <v>569</v>
      </c>
      <c r="Z82" s="1" t="s">
        <v>22</v>
      </c>
      <c r="AA82" s="1" t="s">
        <v>568</v>
      </c>
    </row>
    <row r="83" spans="1:27" ht="12.75">
      <c r="A83" s="3" t="s">
        <v>559</v>
      </c>
      <c r="B83" s="1" t="s">
        <v>563</v>
      </c>
      <c r="C83" s="1" t="s">
        <v>564</v>
      </c>
      <c r="D83" s="1" t="s">
        <v>50</v>
      </c>
      <c r="E83" s="6" t="str">
        <f>HYPERLINK("https://www.bioscidb.com/browse/deal_bg/9605","Link")</f>
        <v>Link</v>
      </c>
      <c r="F83" s="1" t="s">
        <v>27</v>
      </c>
      <c r="G83" s="16" t="s">
        <v>206</v>
      </c>
      <c r="H83" s="4">
        <v>36</v>
      </c>
      <c r="I83" s="4" t="s">
        <v>14</v>
      </c>
      <c r="J83" s="4">
        <v>13.5</v>
      </c>
      <c r="K83" s="20">
        <f>J83/H83</f>
        <v>0.375</v>
      </c>
      <c r="L83" s="5" t="s">
        <v>19</v>
      </c>
      <c r="M83" s="4">
        <v>22.5</v>
      </c>
      <c r="N83" s="6" t="str">
        <f>HYPERLINK("https://www.bioscidb.com/tag/gettag/642c91ea-cad6-4431-bd0b-5c8d02f445d8","Tag")</f>
        <v>Tag</v>
      </c>
      <c r="O83" s="4" t="s">
        <v>14</v>
      </c>
      <c r="P83" s="4"/>
      <c r="Q83" s="4" t="s">
        <v>14</v>
      </c>
      <c r="R83" s="4"/>
      <c r="S83" s="4">
        <v>2</v>
      </c>
      <c r="T83" s="6" t="str">
        <f>HYPERLINK("https://www.bioscidb.com/tag/gettag/f54f6a2b-c148-4c53-98f2-ab756386de30","Tag")</f>
        <v>Tag</v>
      </c>
      <c r="U83" s="8"/>
      <c r="V83" s="4"/>
      <c r="W83" s="1" t="s">
        <v>14</v>
      </c>
      <c r="X83" s="1" t="s">
        <v>14</v>
      </c>
      <c r="Y83" s="1" t="s">
        <v>55</v>
      </c>
      <c r="Z83" s="1" t="s">
        <v>96</v>
      </c>
      <c r="AA83" s="1" t="s">
        <v>565</v>
      </c>
    </row>
    <row r="84" spans="1:27" ht="12.75">
      <c r="A84" s="3" t="s">
        <v>575</v>
      </c>
      <c r="B84" s="1" t="s">
        <v>576</v>
      </c>
      <c r="C84" s="1" t="s">
        <v>577</v>
      </c>
      <c r="D84" s="1" t="s">
        <v>67</v>
      </c>
      <c r="E84" s="6" t="str">
        <f>HYPERLINK("https://www.bioscidb.com/browse/deal_bg/9524","Link")</f>
        <v>Link</v>
      </c>
      <c r="F84" s="1" t="s">
        <v>27</v>
      </c>
      <c r="G84" s="16" t="s">
        <v>206</v>
      </c>
      <c r="H84" s="4">
        <v>32.2</v>
      </c>
      <c r="I84" s="4" t="s">
        <v>14</v>
      </c>
      <c r="J84" s="4">
        <v>32.2</v>
      </c>
      <c r="K84" s="20"/>
      <c r="L84" s="5" t="s">
        <v>14</v>
      </c>
      <c r="M84" s="4" t="s">
        <v>14</v>
      </c>
      <c r="N84" s="4"/>
      <c r="O84" s="4" t="s">
        <v>14</v>
      </c>
      <c r="P84" s="4"/>
      <c r="Q84" s="4" t="s">
        <v>14</v>
      </c>
      <c r="R84" s="4"/>
      <c r="S84" s="4">
        <v>2</v>
      </c>
      <c r="T84" s="4"/>
      <c r="U84" s="8"/>
      <c r="V84" s="4"/>
      <c r="W84" s="1" t="s">
        <v>211</v>
      </c>
      <c r="X84" s="1" t="s">
        <v>14</v>
      </c>
      <c r="Y84" s="1" t="s">
        <v>55</v>
      </c>
      <c r="Z84" s="1" t="s">
        <v>84</v>
      </c>
      <c r="AA84" s="1" t="s">
        <v>578</v>
      </c>
    </row>
    <row r="85" spans="1:27" ht="12.75">
      <c r="A85" s="3" t="s">
        <v>575</v>
      </c>
      <c r="B85" s="1" t="s">
        <v>828</v>
      </c>
      <c r="C85" s="1" t="s">
        <v>829</v>
      </c>
      <c r="D85" s="1" t="s">
        <v>43</v>
      </c>
      <c r="E85" s="6" t="str">
        <f>HYPERLINK("https://www.bioscidb.com/browse/deal_bg/9475","Link")</f>
        <v>Link</v>
      </c>
      <c r="F85" s="1" t="s">
        <v>27</v>
      </c>
      <c r="G85" s="16" t="s">
        <v>100</v>
      </c>
      <c r="H85" s="4">
        <v>350</v>
      </c>
      <c r="I85" s="4">
        <v>50</v>
      </c>
      <c r="J85" s="4">
        <v>20</v>
      </c>
      <c r="K85" s="20">
        <f>(I85+J85)/H85</f>
        <v>0.2</v>
      </c>
      <c r="L85" s="5" t="s">
        <v>19</v>
      </c>
      <c r="M85" s="4">
        <v>40</v>
      </c>
      <c r="N85" s="6" t="str">
        <f>HYPERLINK("https://www.bioscidb.com/tag/gettag/1d909d37-7413-4f13-951e-269990f8d7e1","Tag")</f>
        <v>Tag</v>
      </c>
      <c r="O85" s="4" t="s">
        <v>14</v>
      </c>
      <c r="P85" s="4"/>
      <c r="Q85" s="4">
        <v>240</v>
      </c>
      <c r="R85" s="6" t="str">
        <f>HYPERLINK("https://www.bioscidb.com/tag/gettag/1f4dd7bd-a7a4-4d6a-ac70-489a585fa4c4","Tag")</f>
        <v>Tag</v>
      </c>
      <c r="S85" s="4" t="s">
        <v>14</v>
      </c>
      <c r="T85" s="6" t="str">
        <f>HYPERLINK("https://www.bioscidb.com/tag/gettag/672d075e-c613-49a1-81d7-304fd5cc285f","Tag")</f>
        <v>Tag</v>
      </c>
      <c r="U85" s="8">
        <v>15</v>
      </c>
      <c r="V85" s="6" t="str">
        <f>HYPERLINK("https://www.bioscidb.com/tag/gettag/fbda8492-bd71-49f4-b692-fc099ff6eefe","Tag")</f>
        <v>Tag</v>
      </c>
      <c r="W85" s="1" t="s">
        <v>14</v>
      </c>
      <c r="X85" s="1" t="s">
        <v>14</v>
      </c>
      <c r="Y85" s="1" t="s">
        <v>139</v>
      </c>
      <c r="Z85" s="1" t="s">
        <v>14</v>
      </c>
      <c r="AA85" s="1" t="s">
        <v>14</v>
      </c>
    </row>
    <row r="86" spans="1:27" ht="12.75">
      <c r="A86" s="3" t="s">
        <v>934</v>
      </c>
      <c r="B86" s="1" t="s">
        <v>935</v>
      </c>
      <c r="C86" s="1" t="s">
        <v>936</v>
      </c>
      <c r="D86" s="17" t="s">
        <v>56</v>
      </c>
      <c r="E86" s="6" t="str">
        <f>HYPERLINK("https://www.bioscidb.com/browse/deal_bg/9408","Link")</f>
        <v>Link</v>
      </c>
      <c r="F86" s="1" t="s">
        <v>15</v>
      </c>
      <c r="G86" s="16" t="s">
        <v>100</v>
      </c>
      <c r="H86" s="4">
        <v>77.8</v>
      </c>
      <c r="I86" s="4">
        <v>13.8</v>
      </c>
      <c r="J86" s="4">
        <v>7.5</v>
      </c>
      <c r="K86" s="20">
        <f>(I86+J86)/H86</f>
        <v>0.27377892030848333</v>
      </c>
      <c r="L86" s="5" t="s">
        <v>19</v>
      </c>
      <c r="M86" s="4">
        <v>30</v>
      </c>
      <c r="N86" s="6" t="str">
        <f>HYPERLINK("https://www.bioscidb.com/tag/gettag/cb283e29-45d1-4993-a5a3-4344c30fb2a2","Tag")</f>
        <v>Tag</v>
      </c>
      <c r="O86" s="4" t="s">
        <v>14</v>
      </c>
      <c r="P86" s="4"/>
      <c r="Q86" s="4">
        <v>26.5</v>
      </c>
      <c r="R86" s="6" t="str">
        <f>HYPERLINK("https://www.bioscidb.com/tag/gettag/6558cd31-67d7-4128-b04b-378c70b09c80","Tag")</f>
        <v>Tag</v>
      </c>
      <c r="S86" s="4" t="s">
        <v>14</v>
      </c>
      <c r="T86" s="4"/>
      <c r="U86" s="8"/>
      <c r="V86" s="4"/>
      <c r="W86" s="1" t="s">
        <v>14</v>
      </c>
      <c r="X86" s="1" t="s">
        <v>14</v>
      </c>
      <c r="Y86" s="1" t="s">
        <v>938</v>
      </c>
      <c r="Z86" s="1" t="s">
        <v>14</v>
      </c>
      <c r="AA86" s="1" t="s">
        <v>937</v>
      </c>
    </row>
    <row r="87" spans="1:27" ht="12.75">
      <c r="A87" s="3" t="s">
        <v>540</v>
      </c>
      <c r="B87" s="1" t="s">
        <v>541</v>
      </c>
      <c r="C87" s="1" t="s">
        <v>262</v>
      </c>
      <c r="D87" s="1" t="s">
        <v>43</v>
      </c>
      <c r="E87" s="6" t="str">
        <f>HYPERLINK("https://www.bioscidb.com/browse/deal_bg/8997","Link")</f>
        <v>Link</v>
      </c>
      <c r="F87" s="1" t="s">
        <v>69</v>
      </c>
      <c r="G87" s="16" t="s">
        <v>30</v>
      </c>
      <c r="H87" s="4">
        <v>1250</v>
      </c>
      <c r="I87" s="4">
        <v>500</v>
      </c>
      <c r="J87" s="4" t="s">
        <v>14</v>
      </c>
      <c r="K87" s="20">
        <f>I87/H87</f>
        <v>0.4</v>
      </c>
      <c r="L87" s="5" t="s">
        <v>14</v>
      </c>
      <c r="M87" s="4" t="s">
        <v>14</v>
      </c>
      <c r="N87" s="4"/>
      <c r="O87" s="4" t="s">
        <v>14</v>
      </c>
      <c r="P87" s="4"/>
      <c r="Q87" s="4" t="s">
        <v>14</v>
      </c>
      <c r="R87" s="4"/>
      <c r="S87" s="4" t="s">
        <v>14</v>
      </c>
      <c r="T87" s="4"/>
      <c r="U87" s="8"/>
      <c r="V87" s="4"/>
      <c r="W87" s="1" t="s">
        <v>14</v>
      </c>
      <c r="X87" s="1" t="s">
        <v>79</v>
      </c>
      <c r="Y87" s="1" t="s">
        <v>543</v>
      </c>
      <c r="Z87" s="1" t="s">
        <v>22</v>
      </c>
      <c r="AA87" s="1" t="s">
        <v>542</v>
      </c>
    </row>
    <row r="88" spans="1:27" ht="25.5">
      <c r="A88" s="3" t="s">
        <v>540</v>
      </c>
      <c r="B88" s="1" t="s">
        <v>487</v>
      </c>
      <c r="C88" s="1" t="s">
        <v>488</v>
      </c>
      <c r="D88" s="17" t="s">
        <v>25</v>
      </c>
      <c r="E88" s="6" t="str">
        <f>HYPERLINK("https://www.bioscidb.com/browse/deal_bg/9127","Link")</f>
        <v>Link</v>
      </c>
      <c r="F88" s="1" t="s">
        <v>45</v>
      </c>
      <c r="G88" s="16" t="s">
        <v>552</v>
      </c>
      <c r="H88" s="4">
        <v>59</v>
      </c>
      <c r="I88" s="4">
        <v>0.5</v>
      </c>
      <c r="J88" s="4" t="s">
        <v>14</v>
      </c>
      <c r="K88" s="20">
        <f>I88/H88</f>
        <v>0.00847457627118644</v>
      </c>
      <c r="L88" s="5" t="s">
        <v>14</v>
      </c>
      <c r="M88" s="4" t="s">
        <v>14</v>
      </c>
      <c r="N88" s="4"/>
      <c r="O88" s="4" t="s">
        <v>14</v>
      </c>
      <c r="P88" s="4"/>
      <c r="Q88" s="4">
        <v>23.5</v>
      </c>
      <c r="R88" s="4"/>
      <c r="S88" s="4" t="s">
        <v>14</v>
      </c>
      <c r="T88" s="4"/>
      <c r="U88" s="8"/>
      <c r="V88" s="4"/>
      <c r="W88" s="1" t="s">
        <v>14</v>
      </c>
      <c r="X88" s="1" t="s">
        <v>211</v>
      </c>
      <c r="Y88" s="1" t="s">
        <v>203</v>
      </c>
      <c r="Z88" s="1" t="s">
        <v>89</v>
      </c>
      <c r="AA88" s="1" t="s">
        <v>553</v>
      </c>
    </row>
    <row r="89" spans="1:27" ht="25.5">
      <c r="A89" s="3" t="s">
        <v>528</v>
      </c>
      <c r="B89" s="1" t="s">
        <v>120</v>
      </c>
      <c r="C89" s="1" t="s">
        <v>549</v>
      </c>
      <c r="D89" s="1" t="s">
        <v>56</v>
      </c>
      <c r="E89" s="6" t="str">
        <f>HYPERLINK("https://www.bioscidb.com/browse/deal_bg/8926","Link")</f>
        <v>Link</v>
      </c>
      <c r="F89" s="1" t="s">
        <v>45</v>
      </c>
      <c r="G89" s="16" t="s">
        <v>550</v>
      </c>
      <c r="H89" s="4">
        <v>294</v>
      </c>
      <c r="I89" s="4">
        <v>199</v>
      </c>
      <c r="J89" s="4" t="s">
        <v>14</v>
      </c>
      <c r="K89" s="20">
        <f>I89/H89</f>
        <v>0.6768707482993197</v>
      </c>
      <c r="L89" s="5" t="s">
        <v>19</v>
      </c>
      <c r="M89" s="4" t="s">
        <v>14</v>
      </c>
      <c r="N89" s="4"/>
      <c r="O89" s="4" t="s">
        <v>14</v>
      </c>
      <c r="P89" s="4"/>
      <c r="Q89" s="4">
        <v>95</v>
      </c>
      <c r="R89" s="6" t="str">
        <f>HYPERLINK("https://www.bioscidb.com/tag/gettag/ccf6934f-aade-421e-b733-0d145e21b2cb","Tag")</f>
        <v>Tag</v>
      </c>
      <c r="S89" s="4" t="s">
        <v>14</v>
      </c>
      <c r="T89" s="4"/>
      <c r="U89" s="8"/>
      <c r="V89" s="4"/>
      <c r="W89" s="1" t="s">
        <v>79</v>
      </c>
      <c r="X89" s="1" t="s">
        <v>14</v>
      </c>
      <c r="Y89" s="1" t="s">
        <v>21</v>
      </c>
      <c r="Z89" s="1" t="s">
        <v>22</v>
      </c>
      <c r="AA89" s="1" t="s">
        <v>551</v>
      </c>
    </row>
    <row r="90" spans="1:27" ht="12.75">
      <c r="A90" s="3" t="s">
        <v>528</v>
      </c>
      <c r="B90" s="1" t="s">
        <v>529</v>
      </c>
      <c r="C90" s="1" t="s">
        <v>530</v>
      </c>
      <c r="D90" s="1" t="s">
        <v>280</v>
      </c>
      <c r="E90" s="6" t="str">
        <f>HYPERLINK("https://www.bioscidb.com/browse/deal_bg/8723","Link")</f>
        <v>Link</v>
      </c>
      <c r="F90" s="1" t="s">
        <v>69</v>
      </c>
      <c r="G90" s="16" t="s">
        <v>30</v>
      </c>
      <c r="H90" s="4">
        <v>200</v>
      </c>
      <c r="I90" s="4">
        <v>110</v>
      </c>
      <c r="J90" s="4" t="s">
        <v>14</v>
      </c>
      <c r="K90" s="20">
        <f>I90/H90</f>
        <v>0.55</v>
      </c>
      <c r="L90" s="5" t="s">
        <v>14</v>
      </c>
      <c r="M90" s="4" t="s">
        <v>14</v>
      </c>
      <c r="N90" s="4"/>
      <c r="O90" s="4" t="s">
        <v>14</v>
      </c>
      <c r="P90" s="4"/>
      <c r="Q90" s="4" t="s">
        <v>14</v>
      </c>
      <c r="R90" s="4"/>
      <c r="S90" s="4" t="s">
        <v>14</v>
      </c>
      <c r="T90" s="4"/>
      <c r="U90" s="8"/>
      <c r="V90" s="4"/>
      <c r="W90" s="1" t="s">
        <v>14</v>
      </c>
      <c r="X90" s="1" t="s">
        <v>14</v>
      </c>
      <c r="Y90" s="1" t="s">
        <v>14</v>
      </c>
      <c r="Z90" s="1" t="s">
        <v>286</v>
      </c>
      <c r="AA90" s="1" t="s">
        <v>531</v>
      </c>
    </row>
    <row r="91" spans="1:27" ht="12.75">
      <c r="A91" s="3" t="s">
        <v>523</v>
      </c>
      <c r="B91" s="1" t="s">
        <v>524</v>
      </c>
      <c r="C91" s="1" t="s">
        <v>361</v>
      </c>
      <c r="D91" s="1" t="s">
        <v>248</v>
      </c>
      <c r="E91" s="6" t="str">
        <f>HYPERLINK("https://www.bioscidb.com/browse/deal_bg/8478","Link")</f>
        <v>Link</v>
      </c>
      <c r="F91" s="1" t="s">
        <v>69</v>
      </c>
      <c r="G91" s="16" t="s">
        <v>30</v>
      </c>
      <c r="H91" s="4">
        <v>600</v>
      </c>
      <c r="I91" s="4">
        <v>225</v>
      </c>
      <c r="J91" s="4" t="s">
        <v>14</v>
      </c>
      <c r="K91" s="20">
        <f>I91/H91</f>
        <v>0.375</v>
      </c>
      <c r="L91" s="5" t="s">
        <v>14</v>
      </c>
      <c r="M91" s="4">
        <v>375</v>
      </c>
      <c r="N91" s="4"/>
      <c r="O91" s="4" t="s">
        <v>14</v>
      </c>
      <c r="P91" s="4"/>
      <c r="Q91" s="4" t="s">
        <v>14</v>
      </c>
      <c r="R91" s="4"/>
      <c r="S91" s="4" t="s">
        <v>14</v>
      </c>
      <c r="T91" s="4"/>
      <c r="U91" s="8"/>
      <c r="V91" s="4"/>
      <c r="W91" s="1" t="s">
        <v>14</v>
      </c>
      <c r="X91" s="1" t="s">
        <v>79</v>
      </c>
      <c r="Y91" s="1" t="s">
        <v>203</v>
      </c>
      <c r="Z91" s="1" t="s">
        <v>14</v>
      </c>
      <c r="AA91" s="1" t="s">
        <v>525</v>
      </c>
    </row>
    <row r="92" spans="1:27" ht="12.75">
      <c r="A92" s="3" t="s">
        <v>532</v>
      </c>
      <c r="B92" s="1" t="s">
        <v>533</v>
      </c>
      <c r="C92" s="1" t="s">
        <v>534</v>
      </c>
      <c r="D92" s="1" t="s">
        <v>56</v>
      </c>
      <c r="E92" s="6" t="str">
        <f>HYPERLINK("https://www.bioscidb.com/browse/deal_bg/8297","Link")</f>
        <v>Link</v>
      </c>
      <c r="F92" s="1" t="s">
        <v>27</v>
      </c>
      <c r="G92" s="16" t="s">
        <v>535</v>
      </c>
      <c r="H92" s="4">
        <v>55</v>
      </c>
      <c r="I92" s="4">
        <v>20</v>
      </c>
      <c r="J92" s="4" t="s">
        <v>14</v>
      </c>
      <c r="K92" s="20">
        <f>I92/H92</f>
        <v>0.36363636363636365</v>
      </c>
      <c r="L92" s="5" t="s">
        <v>14</v>
      </c>
      <c r="M92" s="4" t="s">
        <v>14</v>
      </c>
      <c r="N92" s="4"/>
      <c r="O92" s="4" t="s">
        <v>14</v>
      </c>
      <c r="P92" s="4"/>
      <c r="Q92" s="4" t="s">
        <v>14</v>
      </c>
      <c r="R92" s="4"/>
      <c r="S92" s="4" t="s">
        <v>14</v>
      </c>
      <c r="T92" s="4"/>
      <c r="U92" s="8"/>
      <c r="V92" s="4"/>
      <c r="W92" s="1" t="s">
        <v>14</v>
      </c>
      <c r="X92" s="1" t="s">
        <v>66</v>
      </c>
      <c r="Y92" s="1" t="s">
        <v>139</v>
      </c>
      <c r="Z92" s="1" t="s">
        <v>89</v>
      </c>
      <c r="AA92" s="1" t="s">
        <v>536</v>
      </c>
    </row>
    <row r="93" spans="1:27" ht="12.75">
      <c r="A93" s="3" t="s">
        <v>513</v>
      </c>
      <c r="B93" s="1" t="s">
        <v>794</v>
      </c>
      <c r="C93" s="1" t="s">
        <v>795</v>
      </c>
      <c r="D93" s="1" t="s">
        <v>131</v>
      </c>
      <c r="E93" s="6" t="str">
        <f>HYPERLINK("https://www.bioscidb.com/browse/deal_bg/7776","Link")</f>
        <v>Link</v>
      </c>
      <c r="F93" s="1" t="s">
        <v>15</v>
      </c>
      <c r="G93" s="16" t="s">
        <v>30</v>
      </c>
      <c r="H93" s="4">
        <v>410</v>
      </c>
      <c r="I93" s="4">
        <v>380</v>
      </c>
      <c r="J93" s="4" t="s">
        <v>14</v>
      </c>
      <c r="K93" s="20">
        <f>I93/H93</f>
        <v>0.926829268292683</v>
      </c>
      <c r="L93" s="5" t="s">
        <v>19</v>
      </c>
      <c r="M93" s="4" t="s">
        <v>14</v>
      </c>
      <c r="N93" s="4"/>
      <c r="O93" s="4" t="s">
        <v>14</v>
      </c>
      <c r="P93" s="4"/>
      <c r="Q93" s="4">
        <v>30</v>
      </c>
      <c r="R93" s="6" t="str">
        <f>HYPERLINK("https://www.bioscidb.com/tag/gettag/a9473414-4b2e-4c71-b936-78c3c1a2ef98","Tag")</f>
        <v>Tag</v>
      </c>
      <c r="S93" s="4" t="s">
        <v>14</v>
      </c>
      <c r="T93" s="6" t="str">
        <f>HYPERLINK("https://www.bioscidb.com/tag/gettag/b7e1c9f1-c255-4fbd-80c4-c2e0ecd08030","Tag")</f>
        <v>Tag</v>
      </c>
      <c r="U93" s="8"/>
      <c r="V93" s="4"/>
      <c r="W93" s="1" t="s">
        <v>14</v>
      </c>
      <c r="X93" s="1" t="s">
        <v>14</v>
      </c>
      <c r="Y93" s="1" t="s">
        <v>189</v>
      </c>
      <c r="Z93" s="1" t="s">
        <v>131</v>
      </c>
      <c r="AA93" s="1" t="s">
        <v>14</v>
      </c>
    </row>
    <row r="94" spans="1:27" ht="12.75">
      <c r="A94" s="3" t="s">
        <v>513</v>
      </c>
      <c r="B94" s="1" t="s">
        <v>514</v>
      </c>
      <c r="C94" s="1" t="s">
        <v>262</v>
      </c>
      <c r="D94" s="1" t="s">
        <v>90</v>
      </c>
      <c r="E94" s="6" t="str">
        <f>HYPERLINK("https://www.bioscidb.com/browse/deal_bg/7817","Link")</f>
        <v>Link</v>
      </c>
      <c r="F94" s="1" t="s">
        <v>69</v>
      </c>
      <c r="G94" s="16" t="s">
        <v>30</v>
      </c>
      <c r="H94" s="4">
        <v>400</v>
      </c>
      <c r="I94" s="4">
        <v>150</v>
      </c>
      <c r="J94" s="4" t="s">
        <v>14</v>
      </c>
      <c r="K94" s="20">
        <f>I94/H94</f>
        <v>0.375</v>
      </c>
      <c r="L94" s="5" t="s">
        <v>14</v>
      </c>
      <c r="M94" s="4">
        <v>250</v>
      </c>
      <c r="N94" s="4"/>
      <c r="O94" s="4" t="s">
        <v>14</v>
      </c>
      <c r="P94" s="4"/>
      <c r="Q94" s="4" t="s">
        <v>14</v>
      </c>
      <c r="R94" s="4"/>
      <c r="S94" s="4" t="s">
        <v>14</v>
      </c>
      <c r="T94" s="4"/>
      <c r="U94" s="8"/>
      <c r="V94" s="4"/>
      <c r="W94" s="1" t="s">
        <v>14</v>
      </c>
      <c r="X94" s="1" t="s">
        <v>79</v>
      </c>
      <c r="Y94" s="1" t="s">
        <v>55</v>
      </c>
      <c r="Z94" s="1" t="s">
        <v>22</v>
      </c>
      <c r="AA94" s="1" t="s">
        <v>515</v>
      </c>
    </row>
    <row r="95" spans="1:27" ht="12.75">
      <c r="A95" s="3" t="s">
        <v>513</v>
      </c>
      <c r="B95" s="1" t="s">
        <v>526</v>
      </c>
      <c r="C95" s="1" t="s">
        <v>527</v>
      </c>
      <c r="D95" s="1" t="s">
        <v>131</v>
      </c>
      <c r="E95" s="6" t="str">
        <f>HYPERLINK("https://www.bioscidb.com/browse/deal_bg/7868","Link")</f>
        <v>Link</v>
      </c>
      <c r="F95" s="1" t="s">
        <v>27</v>
      </c>
      <c r="G95" s="16" t="s">
        <v>30</v>
      </c>
      <c r="H95" s="4">
        <v>14</v>
      </c>
      <c r="I95" s="4">
        <v>7</v>
      </c>
      <c r="J95" s="4" t="s">
        <v>14</v>
      </c>
      <c r="K95" s="20">
        <f>I95/H95</f>
        <v>0.5</v>
      </c>
      <c r="L95" s="5" t="s">
        <v>14</v>
      </c>
      <c r="M95" s="4" t="s">
        <v>14</v>
      </c>
      <c r="N95" s="4"/>
      <c r="O95" s="4" t="s">
        <v>14</v>
      </c>
      <c r="P95" s="4"/>
      <c r="Q95" s="4">
        <v>7</v>
      </c>
      <c r="R95" s="4"/>
      <c r="S95" s="4" t="s">
        <v>14</v>
      </c>
      <c r="T95" s="4"/>
      <c r="U95" s="8"/>
      <c r="V95" s="4"/>
      <c r="W95" s="1" t="s">
        <v>14</v>
      </c>
      <c r="X95" s="1" t="s">
        <v>14</v>
      </c>
      <c r="Y95" s="1" t="s">
        <v>14</v>
      </c>
      <c r="Z95" s="1" t="s">
        <v>131</v>
      </c>
      <c r="AA95" s="1" t="s">
        <v>14</v>
      </c>
    </row>
    <row r="96" spans="1:27" ht="25.5">
      <c r="A96" s="3" t="s">
        <v>509</v>
      </c>
      <c r="B96" s="1" t="s">
        <v>510</v>
      </c>
      <c r="C96" s="1" t="s">
        <v>118</v>
      </c>
      <c r="D96" s="1" t="s">
        <v>50</v>
      </c>
      <c r="E96" s="6" t="str">
        <f>HYPERLINK("https://www.bioscidb.com/browse/deal_bg/7607","Link")</f>
        <v>Link</v>
      </c>
      <c r="F96" s="1" t="s">
        <v>69</v>
      </c>
      <c r="G96" s="16" t="s">
        <v>511</v>
      </c>
      <c r="H96" s="4">
        <v>7000</v>
      </c>
      <c r="I96" s="4">
        <v>2500</v>
      </c>
      <c r="J96" s="4" t="s">
        <v>14</v>
      </c>
      <c r="K96" s="20">
        <f>I96/H96</f>
        <v>0.35714285714285715</v>
      </c>
      <c r="L96" s="5" t="s">
        <v>14</v>
      </c>
      <c r="M96" s="4">
        <v>1500</v>
      </c>
      <c r="N96" s="4"/>
      <c r="O96" s="4" t="s">
        <v>14</v>
      </c>
      <c r="P96" s="4"/>
      <c r="Q96" s="4" t="s">
        <v>14</v>
      </c>
      <c r="R96" s="4"/>
      <c r="S96" s="4" t="s">
        <v>14</v>
      </c>
      <c r="T96" s="4"/>
      <c r="U96" s="8"/>
      <c r="V96" s="4"/>
      <c r="W96" s="1" t="s">
        <v>14</v>
      </c>
      <c r="X96" s="1" t="s">
        <v>79</v>
      </c>
      <c r="Y96" s="1" t="s">
        <v>55</v>
      </c>
      <c r="Z96" s="1" t="s">
        <v>22</v>
      </c>
      <c r="AA96" s="1" t="s">
        <v>512</v>
      </c>
    </row>
    <row r="97" spans="1:27" ht="12.75">
      <c r="A97" s="3" t="s">
        <v>494</v>
      </c>
      <c r="B97" s="1" t="s">
        <v>495</v>
      </c>
      <c r="C97" s="1" t="s">
        <v>361</v>
      </c>
      <c r="D97" s="1" t="s">
        <v>43</v>
      </c>
      <c r="E97" s="6" t="str">
        <f>HYPERLINK("https://www.bioscidb.com/browse/deal_bg/7303","Link")</f>
        <v>Link</v>
      </c>
      <c r="F97" s="1" t="s">
        <v>69</v>
      </c>
      <c r="G97" s="16" t="s">
        <v>30</v>
      </c>
      <c r="H97" s="4">
        <v>2075</v>
      </c>
      <c r="I97" s="4">
        <v>300</v>
      </c>
      <c r="J97" s="4" t="s">
        <v>14</v>
      </c>
      <c r="K97" s="20">
        <f>I97/H97</f>
        <v>0.14457831325301204</v>
      </c>
      <c r="L97" s="5" t="s">
        <v>14</v>
      </c>
      <c r="M97" s="4" t="s">
        <v>14</v>
      </c>
      <c r="N97" s="4"/>
      <c r="O97" s="4" t="s">
        <v>14</v>
      </c>
      <c r="P97" s="4"/>
      <c r="Q97" s="4" t="s">
        <v>14</v>
      </c>
      <c r="R97" s="4"/>
      <c r="S97" s="4" t="s">
        <v>14</v>
      </c>
      <c r="T97" s="4"/>
      <c r="U97" s="8"/>
      <c r="V97" s="4"/>
      <c r="W97" s="1" t="s">
        <v>14</v>
      </c>
      <c r="X97" s="1" t="s">
        <v>79</v>
      </c>
      <c r="Y97" s="1" t="s">
        <v>21</v>
      </c>
      <c r="Z97" s="1" t="s">
        <v>22</v>
      </c>
      <c r="AA97" s="1" t="s">
        <v>496</v>
      </c>
    </row>
    <row r="98" spans="1:27" ht="12.75">
      <c r="A98" s="3" t="s">
        <v>494</v>
      </c>
      <c r="B98" s="1" t="s">
        <v>501</v>
      </c>
      <c r="C98" s="1" t="s">
        <v>421</v>
      </c>
      <c r="D98" s="1" t="s">
        <v>50</v>
      </c>
      <c r="E98" s="6" t="str">
        <f>HYPERLINK("https://www.bioscidb.com/browse/deal_bg/7302","Link")</f>
        <v>Link</v>
      </c>
      <c r="F98" s="1" t="s">
        <v>27</v>
      </c>
      <c r="G98" s="16" t="s">
        <v>502</v>
      </c>
      <c r="H98" s="4">
        <v>6546</v>
      </c>
      <c r="I98" s="4">
        <v>5900</v>
      </c>
      <c r="J98" s="4" t="s">
        <v>14</v>
      </c>
      <c r="K98" s="20">
        <f>I98/H98</f>
        <v>0.9013137794072716</v>
      </c>
      <c r="L98" s="5" t="s">
        <v>19</v>
      </c>
      <c r="M98" s="4">
        <v>646</v>
      </c>
      <c r="N98" s="4"/>
      <c r="O98" s="4" t="s">
        <v>14</v>
      </c>
      <c r="P98" s="6" t="str">
        <f>HYPERLINK("https://www.bioscidb.com/tag/gettag/41b2a41f-0ba3-4dde-9d0b-bbc508333b3e","Tag")</f>
        <v>Tag</v>
      </c>
      <c r="Q98" s="4" t="s">
        <v>14</v>
      </c>
      <c r="R98" s="4"/>
      <c r="S98" s="4" t="s">
        <v>14</v>
      </c>
      <c r="T98" s="6" t="str">
        <f>HYPERLINK("https://www.bioscidb.com/tag/gettag/58aa1240-d5ef-4a0f-86fe-1851fe3727df","Tag")</f>
        <v>Tag</v>
      </c>
      <c r="U98" s="8">
        <v>4</v>
      </c>
      <c r="V98" s="6" t="str">
        <f>HYPERLINK("https://www.bioscidb.com/tag/gettag/e93f0e61-a912-4884-b203-970c25664098","Tag")</f>
        <v>Tag</v>
      </c>
      <c r="W98" s="1" t="s">
        <v>14</v>
      </c>
      <c r="X98" s="1" t="s">
        <v>88</v>
      </c>
      <c r="Y98" s="1" t="s">
        <v>504</v>
      </c>
      <c r="Z98" s="1" t="s">
        <v>84</v>
      </c>
      <c r="AA98" s="1" t="s">
        <v>503</v>
      </c>
    </row>
    <row r="99" spans="1:27" ht="12.75">
      <c r="A99" s="3" t="s">
        <v>494</v>
      </c>
      <c r="B99" s="1" t="s">
        <v>831</v>
      </c>
      <c r="C99" s="1" t="s">
        <v>952</v>
      </c>
      <c r="D99" s="17" t="s">
        <v>56</v>
      </c>
      <c r="E99" s="6" t="str">
        <f>HYPERLINK("https://www.bioscidb.com/browse/deal_bg/8871","Link")</f>
        <v>Link</v>
      </c>
      <c r="F99" s="1" t="s">
        <v>15</v>
      </c>
      <c r="G99" s="16" t="s">
        <v>953</v>
      </c>
      <c r="H99" s="4">
        <v>12</v>
      </c>
      <c r="I99" s="4">
        <v>8</v>
      </c>
      <c r="J99" s="4" t="s">
        <v>14</v>
      </c>
      <c r="K99" s="20">
        <f>I99/H99</f>
        <v>0.6666666666666666</v>
      </c>
      <c r="L99" s="5" t="s">
        <v>19</v>
      </c>
      <c r="M99" s="4" t="s">
        <v>14</v>
      </c>
      <c r="N99" s="4"/>
      <c r="O99" s="4" t="s">
        <v>14</v>
      </c>
      <c r="P99" s="4"/>
      <c r="Q99" s="4">
        <v>4</v>
      </c>
      <c r="R99" s="6" t="str">
        <f>HYPERLINK("https://www.bioscidb.com/tag/gettag/2ed7b4dd-a224-4823-b4ac-f0d3039d2e03","Tag")</f>
        <v>Tag</v>
      </c>
      <c r="S99" s="4" t="s">
        <v>14</v>
      </c>
      <c r="T99" s="4"/>
      <c r="U99" s="8"/>
      <c r="V99" s="4"/>
      <c r="W99" s="1" t="s">
        <v>14</v>
      </c>
      <c r="X99" s="1" t="s">
        <v>14</v>
      </c>
      <c r="Y99" s="1" t="s">
        <v>139</v>
      </c>
      <c r="Z99" s="1" t="s">
        <v>32</v>
      </c>
      <c r="AA99" s="1" t="s">
        <v>14</v>
      </c>
    </row>
    <row r="100" spans="1:27" ht="12.75">
      <c r="A100" s="3" t="s">
        <v>617</v>
      </c>
      <c r="B100" s="1" t="s">
        <v>618</v>
      </c>
      <c r="C100" s="1" t="s">
        <v>619</v>
      </c>
      <c r="D100" s="1" t="s">
        <v>43</v>
      </c>
      <c r="E100" s="6" t="str">
        <f>HYPERLINK("https://www.bioscidb.com/browse/deal_bg/15223","Link")</f>
        <v>Link</v>
      </c>
      <c r="F100" s="1" t="s">
        <v>27</v>
      </c>
      <c r="G100" s="16" t="s">
        <v>620</v>
      </c>
      <c r="H100" s="4" t="s">
        <v>14</v>
      </c>
      <c r="I100" s="4" t="s">
        <v>14</v>
      </c>
      <c r="J100" s="4" t="s">
        <v>14</v>
      </c>
      <c r="K100" s="20"/>
      <c r="L100" s="5" t="s">
        <v>19</v>
      </c>
      <c r="M100" s="4" t="s">
        <v>14</v>
      </c>
      <c r="N100" s="6" t="str">
        <f>HYPERLINK("https://www.bioscidb.com/tag/gettag/593e0215-9e89-4ae8-93c0-7c924364fde9","Tag")</f>
        <v>Tag</v>
      </c>
      <c r="O100" s="4" t="s">
        <v>14</v>
      </c>
      <c r="P100" s="4"/>
      <c r="Q100" s="4" t="s">
        <v>14</v>
      </c>
      <c r="R100" s="6" t="str">
        <f>HYPERLINK("https://www.bioscidb.com/tag/gettag/3cedb085-044b-4b6d-bbef-88c9f2ce07b9","Tag")</f>
        <v>Tag</v>
      </c>
      <c r="S100" s="4" t="s">
        <v>14</v>
      </c>
      <c r="T100" s="4"/>
      <c r="U100" s="8"/>
      <c r="V100" s="4"/>
      <c r="W100" s="1" t="s">
        <v>14</v>
      </c>
      <c r="X100" s="1" t="s">
        <v>211</v>
      </c>
      <c r="Y100" s="1" t="s">
        <v>55</v>
      </c>
      <c r="Z100" s="1" t="s">
        <v>14</v>
      </c>
      <c r="AA100" s="1" t="s">
        <v>14</v>
      </c>
    </row>
    <row r="101" spans="1:27" ht="25.5">
      <c r="A101" s="3" t="s">
        <v>499</v>
      </c>
      <c r="B101" s="1" t="s">
        <v>823</v>
      </c>
      <c r="C101" s="1" t="s">
        <v>824</v>
      </c>
      <c r="D101" s="17" t="s">
        <v>43</v>
      </c>
      <c r="E101" s="6" t="str">
        <f>HYPERLINK("https://www.bioscidb.com/browse/deal_bg/6647","Link")</f>
        <v>Link</v>
      </c>
      <c r="F101" s="1" t="s">
        <v>45</v>
      </c>
      <c r="G101" s="16" t="s">
        <v>825</v>
      </c>
      <c r="H101" s="4">
        <v>8</v>
      </c>
      <c r="I101" s="4">
        <v>2</v>
      </c>
      <c r="J101" s="4" t="s">
        <v>14</v>
      </c>
      <c r="K101" s="20">
        <f>I101/H101</f>
        <v>0.25</v>
      </c>
      <c r="L101" s="5" t="s">
        <v>14</v>
      </c>
      <c r="M101" s="4">
        <v>6</v>
      </c>
      <c r="N101" s="4"/>
      <c r="O101" s="4" t="s">
        <v>14</v>
      </c>
      <c r="P101" s="4"/>
      <c r="Q101" s="4" t="s">
        <v>14</v>
      </c>
      <c r="R101" s="4"/>
      <c r="S101" s="4" t="s">
        <v>14</v>
      </c>
      <c r="T101" s="4"/>
      <c r="U101" s="8"/>
      <c r="V101" s="4"/>
      <c r="W101" s="1" t="s">
        <v>436</v>
      </c>
      <c r="X101" s="1" t="s">
        <v>14</v>
      </c>
      <c r="Y101" s="1" t="s">
        <v>827</v>
      </c>
      <c r="Z101" s="1" t="s">
        <v>22</v>
      </c>
      <c r="AA101" s="1" t="s">
        <v>826</v>
      </c>
    </row>
    <row r="102" spans="1:27" ht="25.5">
      <c r="A102" s="3" t="s">
        <v>499</v>
      </c>
      <c r="B102" s="1" t="s">
        <v>262</v>
      </c>
      <c r="C102" s="1" t="s">
        <v>173</v>
      </c>
      <c r="D102" s="1" t="s">
        <v>56</v>
      </c>
      <c r="E102" s="6" t="str">
        <f>HYPERLINK("https://www.bioscidb.com/browse/deal_bg/6806","Link")</f>
        <v>Link</v>
      </c>
      <c r="F102" s="1" t="s">
        <v>45</v>
      </c>
      <c r="G102" s="16" t="s">
        <v>500</v>
      </c>
      <c r="H102" s="4">
        <v>75</v>
      </c>
      <c r="I102" s="4" t="s">
        <v>14</v>
      </c>
      <c r="J102" s="4" t="s">
        <v>14</v>
      </c>
      <c r="K102" s="20"/>
      <c r="L102" s="5" t="s">
        <v>14</v>
      </c>
      <c r="M102" s="4" t="s">
        <v>14</v>
      </c>
      <c r="N102" s="4"/>
      <c r="O102" s="4" t="s">
        <v>14</v>
      </c>
      <c r="P102" s="4"/>
      <c r="Q102" s="4" t="s">
        <v>14</v>
      </c>
      <c r="R102" s="4"/>
      <c r="S102" s="4" t="s">
        <v>14</v>
      </c>
      <c r="T102" s="4"/>
      <c r="U102" s="8"/>
      <c r="V102" s="4"/>
      <c r="W102" s="1" t="s">
        <v>79</v>
      </c>
      <c r="X102" s="1" t="s">
        <v>14</v>
      </c>
      <c r="Y102" s="1" t="s">
        <v>14</v>
      </c>
      <c r="Z102" s="1" t="s">
        <v>405</v>
      </c>
      <c r="AA102" s="1" t="s">
        <v>14</v>
      </c>
    </row>
    <row r="103" spans="1:27" ht="12.75">
      <c r="A103" s="3" t="s">
        <v>499</v>
      </c>
      <c r="B103" s="1" t="s">
        <v>505</v>
      </c>
      <c r="C103" s="1" t="s">
        <v>478</v>
      </c>
      <c r="D103" s="1" t="s">
        <v>131</v>
      </c>
      <c r="E103" s="6" t="str">
        <f>HYPERLINK("https://www.bioscidb.com/browse/deal_bg/6540","Link")</f>
        <v>Link</v>
      </c>
      <c r="F103" s="1" t="s">
        <v>27</v>
      </c>
      <c r="G103" s="16" t="s">
        <v>506</v>
      </c>
      <c r="H103" s="4">
        <v>189.3</v>
      </c>
      <c r="I103" s="4">
        <v>165</v>
      </c>
      <c r="J103" s="4" t="s">
        <v>14</v>
      </c>
      <c r="K103" s="20">
        <f>I103/H103</f>
        <v>0.8716323296354992</v>
      </c>
      <c r="L103" s="5" t="s">
        <v>19</v>
      </c>
      <c r="M103" s="4" t="s">
        <v>14</v>
      </c>
      <c r="N103" s="4"/>
      <c r="O103" s="4" t="s">
        <v>14</v>
      </c>
      <c r="P103" s="4"/>
      <c r="Q103" s="4">
        <v>25.3</v>
      </c>
      <c r="R103" s="6" t="str">
        <f>HYPERLINK("https://www.bioscidb.com/tag/gettag/6903cdc3-5ff2-4bc4-a994-64fcaf5d2d03","Tag")</f>
        <v>Tag</v>
      </c>
      <c r="S103" s="4" t="s">
        <v>14</v>
      </c>
      <c r="T103" s="6" t="str">
        <f>HYPERLINK("https://www.bioscidb.com/tag/gettag/0db032e3-be59-4a3d-b710-e5cf16644290","Tag")</f>
        <v>Tag</v>
      </c>
      <c r="U103" s="9">
        <v>2.8</v>
      </c>
      <c r="V103" s="6" t="str">
        <f>HYPERLINK("https://www.bioscidb.com/tag/gettag/f28fb272-d41d-4868-b921-b919bb1f7758","Tag")</f>
        <v>Tag</v>
      </c>
      <c r="W103" s="1" t="s">
        <v>14</v>
      </c>
      <c r="X103" s="1" t="s">
        <v>66</v>
      </c>
      <c r="Y103" s="1" t="s">
        <v>508</v>
      </c>
      <c r="Z103" s="1" t="s">
        <v>131</v>
      </c>
      <c r="AA103" s="1" t="s">
        <v>507</v>
      </c>
    </row>
    <row r="104" spans="1:27" ht="12.75">
      <c r="A104" s="3" t="s">
        <v>473</v>
      </c>
      <c r="B104" s="1" t="s">
        <v>474</v>
      </c>
      <c r="C104" s="1" t="s">
        <v>475</v>
      </c>
      <c r="D104" s="1" t="s">
        <v>280</v>
      </c>
      <c r="E104" s="6" t="str">
        <f>HYPERLINK("https://www.bioscidb.com/browse/deal_bg/6296","Link")</f>
        <v>Link</v>
      </c>
      <c r="F104" s="1" t="s">
        <v>69</v>
      </c>
      <c r="G104" s="16" t="s">
        <v>30</v>
      </c>
      <c r="H104" s="4">
        <v>425</v>
      </c>
      <c r="I104" s="4">
        <v>190</v>
      </c>
      <c r="J104" s="4" t="s">
        <v>14</v>
      </c>
      <c r="K104" s="20">
        <f>I104/H104</f>
        <v>0.4470588235294118</v>
      </c>
      <c r="L104" s="5" t="s">
        <v>14</v>
      </c>
      <c r="M104" s="4" t="s">
        <v>14</v>
      </c>
      <c r="N104" s="4"/>
      <c r="O104" s="4" t="s">
        <v>14</v>
      </c>
      <c r="P104" s="4"/>
      <c r="Q104" s="4" t="s">
        <v>14</v>
      </c>
      <c r="R104" s="4"/>
      <c r="S104" s="4" t="s">
        <v>14</v>
      </c>
      <c r="T104" s="4"/>
      <c r="U104" s="8"/>
      <c r="V104" s="4"/>
      <c r="W104" s="1" t="s">
        <v>14</v>
      </c>
      <c r="X104" s="1" t="s">
        <v>79</v>
      </c>
      <c r="Y104" s="1" t="s">
        <v>83</v>
      </c>
      <c r="Z104" s="1" t="s">
        <v>286</v>
      </c>
      <c r="AA104" s="1" t="s">
        <v>476</v>
      </c>
    </row>
    <row r="105" spans="1:27" ht="12.75">
      <c r="A105" s="3" t="s">
        <v>473</v>
      </c>
      <c r="B105" s="1" t="s">
        <v>497</v>
      </c>
      <c r="C105" s="1" t="s">
        <v>205</v>
      </c>
      <c r="D105" s="1" t="s">
        <v>50</v>
      </c>
      <c r="E105" s="6" t="str">
        <f>HYPERLINK("https://www.bioscidb.com/browse/deal_bg/6481","Link")</f>
        <v>Link</v>
      </c>
      <c r="F105" s="1" t="s">
        <v>45</v>
      </c>
      <c r="G105" s="16" t="s">
        <v>100</v>
      </c>
      <c r="H105" s="4">
        <v>947</v>
      </c>
      <c r="I105" s="4">
        <v>125</v>
      </c>
      <c r="J105" s="4">
        <v>104</v>
      </c>
      <c r="K105" s="20">
        <f>(I105+J105)/H105</f>
        <v>0.24181626187961985</v>
      </c>
      <c r="L105" s="5" t="s">
        <v>14</v>
      </c>
      <c r="M105" s="4">
        <v>361</v>
      </c>
      <c r="N105" s="4"/>
      <c r="O105" s="4">
        <v>100</v>
      </c>
      <c r="P105" s="4"/>
      <c r="Q105" s="4">
        <v>257</v>
      </c>
      <c r="R105" s="4"/>
      <c r="S105" s="4" t="s">
        <v>14</v>
      </c>
      <c r="T105" s="4"/>
      <c r="U105" s="8"/>
      <c r="V105" s="4"/>
      <c r="W105" s="1" t="s">
        <v>14</v>
      </c>
      <c r="X105" s="1" t="s">
        <v>14</v>
      </c>
      <c r="Y105" s="1" t="s">
        <v>143</v>
      </c>
      <c r="Z105" s="1" t="s">
        <v>89</v>
      </c>
      <c r="AA105" s="1" t="s">
        <v>498</v>
      </c>
    </row>
    <row r="106" spans="1:27" ht="12.75">
      <c r="A106" s="3" t="s">
        <v>473</v>
      </c>
      <c r="B106" s="1" t="s">
        <v>477</v>
      </c>
      <c r="C106" s="1" t="s">
        <v>478</v>
      </c>
      <c r="D106" s="1" t="s">
        <v>56</v>
      </c>
      <c r="E106" s="6" t="str">
        <f>HYPERLINK("https://www.bioscidb.com/browse/deal_bg/6346","Link")</f>
        <v>Link</v>
      </c>
      <c r="F106" s="1" t="s">
        <v>69</v>
      </c>
      <c r="G106" s="16" t="s">
        <v>30</v>
      </c>
      <c r="H106" s="4">
        <v>1000</v>
      </c>
      <c r="I106" s="4">
        <v>500</v>
      </c>
      <c r="J106" s="4" t="s">
        <v>14</v>
      </c>
      <c r="K106" s="20">
        <f>I106/H106</f>
        <v>0.5</v>
      </c>
      <c r="L106" s="5" t="s">
        <v>14</v>
      </c>
      <c r="M106" s="4" t="s">
        <v>14</v>
      </c>
      <c r="N106" s="4"/>
      <c r="O106" s="4" t="s">
        <v>14</v>
      </c>
      <c r="P106" s="4"/>
      <c r="Q106" s="4" t="s">
        <v>14</v>
      </c>
      <c r="R106" s="4"/>
      <c r="S106" s="4" t="s">
        <v>14</v>
      </c>
      <c r="T106" s="4"/>
      <c r="U106" s="8"/>
      <c r="V106" s="4"/>
      <c r="W106" s="1" t="s">
        <v>14</v>
      </c>
      <c r="X106" s="1" t="s">
        <v>66</v>
      </c>
      <c r="Y106" s="1" t="s">
        <v>378</v>
      </c>
      <c r="Z106" s="1" t="s">
        <v>22</v>
      </c>
      <c r="AA106" s="1" t="s">
        <v>479</v>
      </c>
    </row>
    <row r="107" spans="1:27" ht="25.5">
      <c r="A107" s="3" t="s">
        <v>464</v>
      </c>
      <c r="B107" s="1" t="s">
        <v>118</v>
      </c>
      <c r="C107" s="1" t="s">
        <v>468</v>
      </c>
      <c r="D107" s="17" t="s">
        <v>56</v>
      </c>
      <c r="E107" s="6" t="str">
        <f>HYPERLINK("https://www.bioscidb.com/browse/deal_bg/6106","Link")</f>
        <v>Link</v>
      </c>
      <c r="F107" s="1" t="s">
        <v>69</v>
      </c>
      <c r="G107" s="16" t="s">
        <v>469</v>
      </c>
      <c r="H107" s="4">
        <v>300</v>
      </c>
      <c r="I107" s="4">
        <v>165</v>
      </c>
      <c r="J107" s="4" t="s">
        <v>14</v>
      </c>
      <c r="K107" s="20">
        <f>I107/H107</f>
        <v>0.55</v>
      </c>
      <c r="L107" s="5" t="s">
        <v>14</v>
      </c>
      <c r="M107" s="4" t="s">
        <v>14</v>
      </c>
      <c r="N107" s="4"/>
      <c r="O107" s="4" t="s">
        <v>14</v>
      </c>
      <c r="P107" s="4"/>
      <c r="Q107" s="4" t="s">
        <v>14</v>
      </c>
      <c r="R107" s="4"/>
      <c r="S107" s="4" t="s">
        <v>14</v>
      </c>
      <c r="T107" s="4"/>
      <c r="U107" s="8"/>
      <c r="V107" s="4"/>
      <c r="W107" s="1" t="s">
        <v>79</v>
      </c>
      <c r="X107" s="1" t="s">
        <v>79</v>
      </c>
      <c r="Y107" s="1" t="s">
        <v>55</v>
      </c>
      <c r="Z107" s="1" t="s">
        <v>22</v>
      </c>
      <c r="AA107" s="1" t="s">
        <v>470</v>
      </c>
    </row>
    <row r="108" spans="1:27" ht="12.75">
      <c r="A108" s="3" t="s">
        <v>464</v>
      </c>
      <c r="B108" s="1" t="s">
        <v>471</v>
      </c>
      <c r="C108" s="1" t="s">
        <v>262</v>
      </c>
      <c r="D108" s="1" t="s">
        <v>67</v>
      </c>
      <c r="E108" s="6" t="str">
        <f>HYPERLINK("https://www.bioscidb.com/browse/deal_bg/6136","Link")</f>
        <v>Link</v>
      </c>
      <c r="F108" s="1" t="s">
        <v>69</v>
      </c>
      <c r="G108" s="16" t="s">
        <v>30</v>
      </c>
      <c r="H108" s="4">
        <v>605</v>
      </c>
      <c r="I108" s="4">
        <v>95</v>
      </c>
      <c r="J108" s="4" t="s">
        <v>14</v>
      </c>
      <c r="K108" s="20">
        <f>I108/H108</f>
        <v>0.15702479338842976</v>
      </c>
      <c r="L108" s="5" t="s">
        <v>14</v>
      </c>
      <c r="M108" s="4" t="s">
        <v>14</v>
      </c>
      <c r="N108" s="4"/>
      <c r="O108" s="4" t="s">
        <v>14</v>
      </c>
      <c r="P108" s="4"/>
      <c r="Q108" s="4" t="s">
        <v>14</v>
      </c>
      <c r="R108" s="4"/>
      <c r="S108" s="4" t="s">
        <v>14</v>
      </c>
      <c r="T108" s="4"/>
      <c r="U108" s="8"/>
      <c r="V108" s="4"/>
      <c r="W108" s="1" t="s">
        <v>14</v>
      </c>
      <c r="X108" s="1" t="s">
        <v>79</v>
      </c>
      <c r="Y108" s="1" t="s">
        <v>55</v>
      </c>
      <c r="Z108" s="1" t="s">
        <v>84</v>
      </c>
      <c r="AA108" s="1" t="s">
        <v>472</v>
      </c>
    </row>
    <row r="109" spans="1:27" ht="12.75">
      <c r="A109" s="3" t="s">
        <v>464</v>
      </c>
      <c r="B109" s="1" t="s">
        <v>516</v>
      </c>
      <c r="C109" s="1" t="s">
        <v>517</v>
      </c>
      <c r="D109" s="1" t="s">
        <v>43</v>
      </c>
      <c r="E109" s="6" t="str">
        <f>HYPERLINK("https://www.bioscidb.com/browse/deal_bg/6191","Link")</f>
        <v>Link</v>
      </c>
      <c r="F109" s="1" t="s">
        <v>45</v>
      </c>
      <c r="G109" s="16" t="s">
        <v>100</v>
      </c>
      <c r="H109" s="4">
        <v>369</v>
      </c>
      <c r="I109" s="4" t="s">
        <v>14</v>
      </c>
      <c r="J109" s="4" t="s">
        <v>14</v>
      </c>
      <c r="K109" s="20"/>
      <c r="L109" s="5" t="s">
        <v>19</v>
      </c>
      <c r="M109" s="4">
        <v>45</v>
      </c>
      <c r="N109" s="6" t="str">
        <f>HYPERLINK("https://www.bioscidb.com/tag/gettag/40cb0b2f-418f-4434-9d9e-4e02847cd5e9","Tag")</f>
        <v>Tag</v>
      </c>
      <c r="O109" s="4">
        <v>32</v>
      </c>
      <c r="P109" s="6" t="str">
        <f>HYPERLINK("https://www.bioscidb.com/tag/gettag/0d2d63b4-a817-4bb4-8545-93c5c0ca985b","Tag")</f>
        <v>Tag</v>
      </c>
      <c r="Q109" s="4">
        <v>292</v>
      </c>
      <c r="R109" s="6" t="str">
        <f>HYPERLINK("https://www.bioscidb.com/tag/gettag/30d4ef49-7e29-47ea-85dc-18345e137c9f","Tag")</f>
        <v>Tag</v>
      </c>
      <c r="S109" s="4">
        <v>16</v>
      </c>
      <c r="T109" s="4"/>
      <c r="U109" s="8"/>
      <c r="V109" s="4"/>
      <c r="W109" s="1" t="s">
        <v>14</v>
      </c>
      <c r="X109" s="1" t="s">
        <v>519</v>
      </c>
      <c r="Y109" s="1" t="s">
        <v>21</v>
      </c>
      <c r="Z109" s="1" t="s">
        <v>437</v>
      </c>
      <c r="AA109" s="1" t="s">
        <v>518</v>
      </c>
    </row>
    <row r="110" spans="1:27" ht="12.75">
      <c r="A110" s="3" t="s">
        <v>464</v>
      </c>
      <c r="B110" s="1" t="s">
        <v>465</v>
      </c>
      <c r="C110" s="1" t="s">
        <v>466</v>
      </c>
      <c r="D110" s="1" t="s">
        <v>43</v>
      </c>
      <c r="E110" s="6" t="str">
        <f>HYPERLINK("https://www.bioscidb.com/browse/deal_bg/6105","Link")</f>
        <v>Link</v>
      </c>
      <c r="F110" s="1" t="s">
        <v>69</v>
      </c>
      <c r="G110" s="16" t="s">
        <v>30</v>
      </c>
      <c r="H110" s="4">
        <v>1710</v>
      </c>
      <c r="I110" s="4">
        <v>560</v>
      </c>
      <c r="J110" s="4" t="s">
        <v>14</v>
      </c>
      <c r="K110" s="20">
        <f>I110/H110</f>
        <v>0.32748538011695905</v>
      </c>
      <c r="L110" s="5" t="s">
        <v>14</v>
      </c>
      <c r="M110" s="4" t="s">
        <v>14</v>
      </c>
      <c r="N110" s="4"/>
      <c r="O110" s="4" t="s">
        <v>14</v>
      </c>
      <c r="P110" s="4"/>
      <c r="Q110" s="4" t="s">
        <v>14</v>
      </c>
      <c r="R110" s="4"/>
      <c r="S110" s="4" t="s">
        <v>14</v>
      </c>
      <c r="T110" s="4"/>
      <c r="U110" s="8"/>
      <c r="V110" s="4"/>
      <c r="W110" s="1" t="s">
        <v>14</v>
      </c>
      <c r="X110" s="1" t="s">
        <v>66</v>
      </c>
      <c r="Y110" s="1" t="s">
        <v>266</v>
      </c>
      <c r="Z110" s="1" t="s">
        <v>22</v>
      </c>
      <c r="AA110" s="1" t="s">
        <v>467</v>
      </c>
    </row>
    <row r="111" spans="1:27" ht="12.75">
      <c r="A111" s="3" t="s">
        <v>461</v>
      </c>
      <c r="B111" s="1" t="s">
        <v>480</v>
      </c>
      <c r="C111" s="1" t="s">
        <v>481</v>
      </c>
      <c r="D111" s="1" t="s">
        <v>56</v>
      </c>
      <c r="E111" s="6" t="str">
        <f>HYPERLINK("https://www.bioscidb.com/browse/deal_bg/5518","Link")</f>
        <v>Link</v>
      </c>
      <c r="F111" s="1" t="s">
        <v>27</v>
      </c>
      <c r="G111" s="16" t="s">
        <v>482</v>
      </c>
      <c r="H111" s="4">
        <v>29.7</v>
      </c>
      <c r="I111" s="4" t="s">
        <v>14</v>
      </c>
      <c r="J111" s="4" t="s">
        <v>14</v>
      </c>
      <c r="K111" s="20"/>
      <c r="L111" s="5" t="s">
        <v>14</v>
      </c>
      <c r="M111" s="4" t="s">
        <v>14</v>
      </c>
      <c r="N111" s="4"/>
      <c r="O111" s="4" t="s">
        <v>14</v>
      </c>
      <c r="P111" s="4"/>
      <c r="Q111" s="4" t="s">
        <v>14</v>
      </c>
      <c r="R111" s="4"/>
      <c r="S111" s="4" t="s">
        <v>14</v>
      </c>
      <c r="T111" s="4"/>
      <c r="U111" s="8"/>
      <c r="V111" s="4"/>
      <c r="W111" s="1" t="s">
        <v>14</v>
      </c>
      <c r="X111" s="1" t="s">
        <v>14</v>
      </c>
      <c r="Y111" s="1" t="s">
        <v>55</v>
      </c>
      <c r="Z111" s="1" t="s">
        <v>14</v>
      </c>
      <c r="AA111" s="1" t="s">
        <v>14</v>
      </c>
    </row>
    <row r="112" spans="1:27" ht="12.75">
      <c r="A112" s="3" t="s">
        <v>461</v>
      </c>
      <c r="B112" s="1" t="s">
        <v>462</v>
      </c>
      <c r="C112" s="1" t="s">
        <v>120</v>
      </c>
      <c r="D112" s="1" t="s">
        <v>43</v>
      </c>
      <c r="E112" s="6" t="str">
        <f>HYPERLINK("https://www.bioscidb.com/browse/deal_bg/5728","Link")</f>
        <v>Link</v>
      </c>
      <c r="F112" s="1" t="s">
        <v>69</v>
      </c>
      <c r="G112" s="16" t="s">
        <v>82</v>
      </c>
      <c r="H112" s="4">
        <v>200</v>
      </c>
      <c r="I112" s="4">
        <v>200</v>
      </c>
      <c r="J112" s="4" t="s">
        <v>14</v>
      </c>
      <c r="K112" s="20"/>
      <c r="L112" s="5" t="s">
        <v>14</v>
      </c>
      <c r="M112" s="4" t="s">
        <v>14</v>
      </c>
      <c r="N112" s="4"/>
      <c r="O112" s="4" t="s">
        <v>14</v>
      </c>
      <c r="P112" s="4"/>
      <c r="Q112" s="4" t="s">
        <v>14</v>
      </c>
      <c r="R112" s="4"/>
      <c r="S112" s="4" t="s">
        <v>14</v>
      </c>
      <c r="T112" s="4"/>
      <c r="U112" s="8"/>
      <c r="V112" s="4"/>
      <c r="W112" s="1" t="s">
        <v>14</v>
      </c>
      <c r="X112" s="1" t="s">
        <v>79</v>
      </c>
      <c r="Y112" s="1" t="s">
        <v>139</v>
      </c>
      <c r="Z112" s="1" t="s">
        <v>22</v>
      </c>
      <c r="AA112" s="1" t="s">
        <v>463</v>
      </c>
    </row>
    <row r="113" spans="1:27" ht="25.5">
      <c r="A113" s="3" t="s">
        <v>456</v>
      </c>
      <c r="B113" s="1" t="s">
        <v>954</v>
      </c>
      <c r="C113" s="1" t="s">
        <v>955</v>
      </c>
      <c r="D113" s="17" t="s">
        <v>56</v>
      </c>
      <c r="E113" s="6" t="str">
        <f>HYPERLINK("https://www.bioscidb.com/browse/deal_bg/4796","Link")</f>
        <v>Link</v>
      </c>
      <c r="F113" s="1" t="s">
        <v>15</v>
      </c>
      <c r="G113" s="16" t="s">
        <v>956</v>
      </c>
      <c r="H113" s="4">
        <v>170</v>
      </c>
      <c r="I113" s="4">
        <v>50</v>
      </c>
      <c r="J113" s="4" t="s">
        <v>14</v>
      </c>
      <c r="K113" s="20">
        <f>I113/H113</f>
        <v>0.29411764705882354</v>
      </c>
      <c r="L113" s="5" t="s">
        <v>19</v>
      </c>
      <c r="M113" s="4">
        <v>40</v>
      </c>
      <c r="N113" s="6" t="str">
        <f>HYPERLINK("https://www.bioscidb.com/tag/gettag/fe593b85-1fe9-4ff7-a8c3-3daf5bf92513","Tag")</f>
        <v>Tag</v>
      </c>
      <c r="O113" s="4" t="s">
        <v>14</v>
      </c>
      <c r="P113" s="4"/>
      <c r="Q113" s="4">
        <v>80</v>
      </c>
      <c r="R113" s="6" t="str">
        <f>HYPERLINK("https://www.bioscidb.com/tag/gettag/9aa19b61-6028-4630-a206-ddbdecbb5a89","Tag")</f>
        <v>Tag</v>
      </c>
      <c r="S113" s="4">
        <v>10</v>
      </c>
      <c r="T113" s="6" t="str">
        <f>HYPERLINK("https://www.bioscidb.com/tag/gettag/2f416026-6822-4bde-af48-58be60b81b3a","Tag")</f>
        <v>Tag</v>
      </c>
      <c r="U113" s="8">
        <v>15</v>
      </c>
      <c r="V113" s="6" t="str">
        <f>HYPERLINK("https://www.bioscidb.com/tag/gettag/681dce98-3d50-4877-9038-3cbaf6f30cba","Tag")</f>
        <v>Tag</v>
      </c>
      <c r="W113" s="1" t="s">
        <v>14</v>
      </c>
      <c r="X113" s="1" t="s">
        <v>211</v>
      </c>
      <c r="Y113" s="1" t="s">
        <v>139</v>
      </c>
      <c r="Z113" s="1" t="s">
        <v>958</v>
      </c>
      <c r="AA113" s="1" t="s">
        <v>957</v>
      </c>
    </row>
    <row r="114" spans="1:27" ht="25.5">
      <c r="A114" s="3" t="s">
        <v>456</v>
      </c>
      <c r="B114" s="1" t="s">
        <v>193</v>
      </c>
      <c r="C114" s="1" t="s">
        <v>165</v>
      </c>
      <c r="D114" s="1" t="s">
        <v>56</v>
      </c>
      <c r="E114" s="6" t="str">
        <f>HYPERLINK("https://www.bioscidb.com/browse/deal_bg/4732","Link")</f>
        <v>Link</v>
      </c>
      <c r="F114" s="1" t="s">
        <v>27</v>
      </c>
      <c r="G114" s="16" t="s">
        <v>460</v>
      </c>
      <c r="H114" s="4">
        <v>1650</v>
      </c>
      <c r="I114" s="4">
        <v>1600</v>
      </c>
      <c r="J114" s="4" t="s">
        <v>14</v>
      </c>
      <c r="K114" s="20">
        <f>I114/H114</f>
        <v>0.9696969696969697</v>
      </c>
      <c r="L114" s="5" t="s">
        <v>19</v>
      </c>
      <c r="M114" s="4" t="s">
        <v>14</v>
      </c>
      <c r="N114" s="4"/>
      <c r="O114" s="4" t="s">
        <v>14</v>
      </c>
      <c r="P114" s="4"/>
      <c r="Q114" s="4">
        <v>50</v>
      </c>
      <c r="R114" s="6" t="str">
        <f>HYPERLINK("https://www.bioscidb.com/tag/gettag/3ca2aa42-0171-4691-a7ec-83805b2b1beb","Tag")</f>
        <v>Tag</v>
      </c>
      <c r="S114" s="4" t="s">
        <v>14</v>
      </c>
      <c r="T114" s="6" t="str">
        <f>HYPERLINK("https://www.bioscidb.com/tag/gettag/96172a66-e9a8-4bf0-91bf-54771349d204","Tag")</f>
        <v>Tag</v>
      </c>
      <c r="U114" s="8">
        <v>1.8</v>
      </c>
      <c r="V114" s="6" t="str">
        <f>HYPERLINK("https://www.bioscidb.com/tag/gettag/aa49dae2-3f05-4a12-9aa5-1674eb9fbbc0","Tag")</f>
        <v>Tag</v>
      </c>
      <c r="W114" s="1" t="s">
        <v>14</v>
      </c>
      <c r="X114" s="1" t="s">
        <v>14</v>
      </c>
      <c r="Y114" s="1" t="s">
        <v>325</v>
      </c>
      <c r="Z114" s="1" t="s">
        <v>14</v>
      </c>
      <c r="AA114" s="1" t="s">
        <v>14</v>
      </c>
    </row>
    <row r="115" spans="1:27" ht="12.75">
      <c r="A115" s="3" t="s">
        <v>456</v>
      </c>
      <c r="B115" s="1" t="s">
        <v>192</v>
      </c>
      <c r="C115" s="1" t="s">
        <v>457</v>
      </c>
      <c r="D115" s="1" t="s">
        <v>56</v>
      </c>
      <c r="E115" s="6" t="str">
        <f>HYPERLINK("https://www.bioscidb.com/browse/deal_bg/4820","Link")</f>
        <v>Link</v>
      </c>
      <c r="F115" s="1" t="s">
        <v>45</v>
      </c>
      <c r="G115" s="16" t="s">
        <v>458</v>
      </c>
      <c r="H115" s="4">
        <v>383.5</v>
      </c>
      <c r="I115" s="4">
        <v>80</v>
      </c>
      <c r="J115" s="4">
        <v>20</v>
      </c>
      <c r="K115" s="20">
        <f>(I115+J115)/H115</f>
        <v>0.2607561929595828</v>
      </c>
      <c r="L115" s="5" t="s">
        <v>14</v>
      </c>
      <c r="M115" s="4">
        <v>12.5</v>
      </c>
      <c r="N115" s="4"/>
      <c r="O115" s="4" t="s">
        <v>14</v>
      </c>
      <c r="P115" s="4"/>
      <c r="Q115" s="4">
        <v>271</v>
      </c>
      <c r="R115" s="4"/>
      <c r="S115" s="4" t="s">
        <v>14</v>
      </c>
      <c r="T115" s="4"/>
      <c r="U115" s="8"/>
      <c r="V115" s="4"/>
      <c r="W115" s="1" t="s">
        <v>14</v>
      </c>
      <c r="X115" s="1" t="s">
        <v>14</v>
      </c>
      <c r="Y115" s="1" t="s">
        <v>139</v>
      </c>
      <c r="Z115" s="1" t="s">
        <v>89</v>
      </c>
      <c r="AA115" s="1" t="s">
        <v>459</v>
      </c>
    </row>
    <row r="116" spans="1:27" ht="12.75">
      <c r="A116" s="3" t="s">
        <v>424</v>
      </c>
      <c r="B116" s="1" t="s">
        <v>425</v>
      </c>
      <c r="C116" s="1" t="s">
        <v>361</v>
      </c>
      <c r="D116" s="1" t="s">
        <v>90</v>
      </c>
      <c r="E116" s="6" t="str">
        <f>HYPERLINK("https://www.bioscidb.com/browse/deal_bg/4686","Link")</f>
        <v>Link</v>
      </c>
      <c r="F116" s="1" t="s">
        <v>69</v>
      </c>
      <c r="G116" s="16" t="s">
        <v>30</v>
      </c>
      <c r="H116" s="4">
        <v>1250</v>
      </c>
      <c r="I116" s="4">
        <v>800</v>
      </c>
      <c r="J116" s="4" t="s">
        <v>14</v>
      </c>
      <c r="K116" s="20">
        <f>I116/H116</f>
        <v>0.64</v>
      </c>
      <c r="L116" s="5" t="s">
        <v>14</v>
      </c>
      <c r="M116" s="4">
        <v>450</v>
      </c>
      <c r="N116" s="4"/>
      <c r="O116" s="4" t="s">
        <v>14</v>
      </c>
      <c r="P116" s="4"/>
      <c r="Q116" s="4" t="s">
        <v>14</v>
      </c>
      <c r="R116" s="4"/>
      <c r="S116" s="4" t="s">
        <v>14</v>
      </c>
      <c r="T116" s="4"/>
      <c r="U116" s="8"/>
      <c r="V116" s="4"/>
      <c r="W116" s="1" t="s">
        <v>14</v>
      </c>
      <c r="X116" s="1" t="s">
        <v>79</v>
      </c>
      <c r="Y116" s="1" t="s">
        <v>55</v>
      </c>
      <c r="Z116" s="1" t="s">
        <v>22</v>
      </c>
      <c r="AA116" s="1" t="s">
        <v>426</v>
      </c>
    </row>
    <row r="117" spans="1:27" ht="12.75">
      <c r="A117" s="3" t="s">
        <v>424</v>
      </c>
      <c r="B117" s="1" t="s">
        <v>800</v>
      </c>
      <c r="C117" s="1" t="s">
        <v>723</v>
      </c>
      <c r="D117" s="17" t="s">
        <v>43</v>
      </c>
      <c r="E117" s="6" t="str">
        <f>HYPERLINK("https://www.bioscidb.com/browse/deal_bg/4635","Link")</f>
        <v>Link</v>
      </c>
      <c r="F117" s="1" t="s">
        <v>15</v>
      </c>
      <c r="G117" s="16" t="s">
        <v>801</v>
      </c>
      <c r="H117" s="4">
        <v>7</v>
      </c>
      <c r="I117" s="4">
        <v>3</v>
      </c>
      <c r="J117" s="4" t="s">
        <v>14</v>
      </c>
      <c r="K117" s="20">
        <f>I117/H117</f>
        <v>0.42857142857142855</v>
      </c>
      <c r="L117" s="5" t="s">
        <v>19</v>
      </c>
      <c r="M117" s="4">
        <v>4</v>
      </c>
      <c r="N117" s="6" t="str">
        <f>HYPERLINK("https://www.bioscidb.com/tag/gettag/b4420bc0-d145-49d8-846f-2978a95d277d","Tag")</f>
        <v>Tag</v>
      </c>
      <c r="O117" s="4" t="s">
        <v>14</v>
      </c>
      <c r="P117" s="4"/>
      <c r="Q117" s="4" t="s">
        <v>14</v>
      </c>
      <c r="R117" s="4"/>
      <c r="S117" s="4">
        <v>12.5</v>
      </c>
      <c r="T117" s="6" t="str">
        <f>HYPERLINK("https://www.bioscidb.com/tag/gettag/8be2f73a-0f66-40d7-8162-de3adf36a7c8","Tag")</f>
        <v>Tag</v>
      </c>
      <c r="U117" s="8"/>
      <c r="V117" s="4"/>
      <c r="W117" s="1" t="s">
        <v>14</v>
      </c>
      <c r="X117" s="1" t="s">
        <v>211</v>
      </c>
      <c r="Y117" s="1" t="s">
        <v>139</v>
      </c>
      <c r="Z117" s="1" t="s">
        <v>89</v>
      </c>
      <c r="AA117" s="1" t="s">
        <v>14</v>
      </c>
    </row>
    <row r="118" spans="1:27" ht="12.75">
      <c r="A118" s="3" t="s">
        <v>486</v>
      </c>
      <c r="B118" s="1" t="s">
        <v>487</v>
      </c>
      <c r="C118" s="1" t="s">
        <v>488</v>
      </c>
      <c r="D118" s="1" t="s">
        <v>159</v>
      </c>
      <c r="E118" s="6" t="str">
        <f>HYPERLINK("https://www.bioscidb.com/browse/deal_bg/4335","Link")</f>
        <v>Link</v>
      </c>
      <c r="F118" s="1" t="s">
        <v>45</v>
      </c>
      <c r="G118" s="16" t="s">
        <v>489</v>
      </c>
      <c r="H118" s="4">
        <v>78</v>
      </c>
      <c r="I118" s="4">
        <v>5</v>
      </c>
      <c r="J118" s="4" t="s">
        <v>14</v>
      </c>
      <c r="K118" s="20">
        <f>I118/H118</f>
        <v>0.0641025641025641</v>
      </c>
      <c r="L118" s="5" t="s">
        <v>14</v>
      </c>
      <c r="M118" s="4" t="s">
        <v>14</v>
      </c>
      <c r="N118" s="4"/>
      <c r="O118" s="4" t="s">
        <v>14</v>
      </c>
      <c r="P118" s="4"/>
      <c r="Q118" s="4" t="s">
        <v>14</v>
      </c>
      <c r="R118" s="4"/>
      <c r="S118" s="4" t="s">
        <v>14</v>
      </c>
      <c r="T118" s="4"/>
      <c r="U118" s="8"/>
      <c r="V118" s="4"/>
      <c r="W118" s="1" t="s">
        <v>14</v>
      </c>
      <c r="X118" s="1" t="s">
        <v>211</v>
      </c>
      <c r="Y118" s="1" t="s">
        <v>163</v>
      </c>
      <c r="Z118" s="1" t="s">
        <v>14</v>
      </c>
      <c r="AA118" s="1" t="s">
        <v>490</v>
      </c>
    </row>
    <row r="119" spans="1:27" ht="12.75">
      <c r="A119" s="3"/>
      <c r="B119" s="1"/>
      <c r="C119" s="1"/>
      <c r="D119" s="1"/>
      <c r="E119" s="6"/>
      <c r="F119" s="1"/>
      <c r="G119" s="16"/>
      <c r="H119" s="4"/>
      <c r="I119" s="4"/>
      <c r="J119" s="4"/>
      <c r="K119" s="20"/>
      <c r="L119" s="5"/>
      <c r="M119" s="4"/>
      <c r="N119" s="4"/>
      <c r="O119" s="4"/>
      <c r="P119" s="4"/>
      <c r="Q119" s="4"/>
      <c r="R119" s="4"/>
      <c r="S119" s="4"/>
      <c r="T119" s="4"/>
      <c r="U119" s="8"/>
      <c r="V119" s="4"/>
      <c r="W119" s="1"/>
      <c r="X119" s="1"/>
      <c r="Y119" s="1"/>
      <c r="Z119" s="1"/>
      <c r="AA119" s="1"/>
    </row>
    <row r="120" spans="1:27" ht="12.75">
      <c r="A120" s="3"/>
      <c r="B120" s="1"/>
      <c r="C120" s="1"/>
      <c r="D120" s="1"/>
      <c r="E120" s="6"/>
      <c r="F120" s="1"/>
      <c r="G120" s="16"/>
      <c r="H120" s="4"/>
      <c r="I120" s="4"/>
      <c r="J120" s="4"/>
      <c r="K120" s="20"/>
      <c r="L120" s="5"/>
      <c r="M120" s="4"/>
      <c r="N120" s="4"/>
      <c r="O120" s="4"/>
      <c r="P120" s="4"/>
      <c r="Q120" s="4"/>
      <c r="R120" s="4"/>
      <c r="S120" s="4"/>
      <c r="T120" s="25" t="s">
        <v>1033</v>
      </c>
      <c r="U120" s="8">
        <f>AVERAGE(U62:U118)</f>
        <v>9.572727272727272</v>
      </c>
      <c r="V120" s="4"/>
      <c r="W120" s="1"/>
      <c r="X120" s="1"/>
      <c r="Y120" s="1"/>
      <c r="Z120" s="1"/>
      <c r="AA120" s="1"/>
    </row>
    <row r="121" spans="1:27" ht="12.75">
      <c r="A121" s="3"/>
      <c r="B121" s="1"/>
      <c r="C121" s="1"/>
      <c r="D121" s="1"/>
      <c r="E121" s="6"/>
      <c r="F121" s="1"/>
      <c r="G121" s="16"/>
      <c r="H121" s="4"/>
      <c r="I121" s="4"/>
      <c r="J121" s="4"/>
      <c r="K121" s="20"/>
      <c r="L121" s="5"/>
      <c r="M121" s="4"/>
      <c r="N121" s="4"/>
      <c r="O121" s="4"/>
      <c r="P121" s="4"/>
      <c r="Q121" s="4"/>
      <c r="R121" s="4"/>
      <c r="S121" s="4"/>
      <c r="T121" s="25" t="s">
        <v>1034</v>
      </c>
      <c r="U121" s="8">
        <f>MEDIAN(U62:U118)</f>
        <v>12</v>
      </c>
      <c r="V121" s="4"/>
      <c r="W121" s="1"/>
      <c r="X121" s="1"/>
      <c r="Y121" s="1"/>
      <c r="Z121" s="1"/>
      <c r="AA121" s="1"/>
    </row>
    <row r="122" spans="1:27" ht="12.75">
      <c r="A122" s="3"/>
      <c r="B122" s="1"/>
      <c r="C122" s="1"/>
      <c r="D122" s="1"/>
      <c r="E122" s="6"/>
      <c r="F122" s="1"/>
      <c r="G122" s="16"/>
      <c r="H122" s="4"/>
      <c r="I122" s="4"/>
      <c r="J122" s="4"/>
      <c r="K122" s="20"/>
      <c r="L122" s="5"/>
      <c r="M122" s="4"/>
      <c r="N122" s="4"/>
      <c r="O122" s="4"/>
      <c r="P122" s="4"/>
      <c r="Q122" s="4"/>
      <c r="R122" s="4"/>
      <c r="S122" s="4"/>
      <c r="T122" s="4"/>
      <c r="U122" s="8"/>
      <c r="V122" s="4"/>
      <c r="W122" s="1"/>
      <c r="X122" s="1"/>
      <c r="Y122" s="1"/>
      <c r="Z122" s="1"/>
      <c r="AA122" s="1"/>
    </row>
    <row r="123" spans="1:27" ht="25.5">
      <c r="A123" s="3" t="s">
        <v>414</v>
      </c>
      <c r="B123" s="1" t="s">
        <v>555</v>
      </c>
      <c r="C123" s="1" t="s">
        <v>692</v>
      </c>
      <c r="D123" s="1" t="s">
        <v>43</v>
      </c>
      <c r="E123" s="6" t="str">
        <f>HYPERLINK("https://www.bioscidb.com/browse/deal_bg/4212","Link")</f>
        <v>Link</v>
      </c>
      <c r="F123" s="1" t="s">
        <v>15</v>
      </c>
      <c r="G123" s="16" t="s">
        <v>693</v>
      </c>
      <c r="H123" s="4">
        <v>165</v>
      </c>
      <c r="I123" s="4">
        <v>5</v>
      </c>
      <c r="J123" s="4" t="s">
        <v>14</v>
      </c>
      <c r="K123" s="20">
        <f>I123/H123</f>
        <v>0.030303030303030304</v>
      </c>
      <c r="L123" s="5" t="s">
        <v>19</v>
      </c>
      <c r="M123" s="4">
        <v>75</v>
      </c>
      <c r="N123" s="6" t="str">
        <f>HYPERLINK("https://www.bioscidb.com/tag/gettag/9fb36d00-262a-4237-8265-4beff8437429","Tag")</f>
        <v>Tag</v>
      </c>
      <c r="O123" s="4" t="s">
        <v>14</v>
      </c>
      <c r="P123" s="4"/>
      <c r="Q123" s="4">
        <v>85</v>
      </c>
      <c r="R123" s="6" t="str">
        <f>HYPERLINK("https://www.bioscidb.com/tag/gettag/4dbd01b4-a8dd-46c8-ade0-5950b65ccc9d","Tag")</f>
        <v>Tag</v>
      </c>
      <c r="S123" s="4">
        <v>12.5</v>
      </c>
      <c r="T123" s="4"/>
      <c r="U123" s="8"/>
      <c r="V123" s="4"/>
      <c r="W123" s="1" t="s">
        <v>79</v>
      </c>
      <c r="X123" s="1" t="s">
        <v>211</v>
      </c>
      <c r="Y123" s="1" t="s">
        <v>139</v>
      </c>
      <c r="Z123" s="1" t="s">
        <v>22</v>
      </c>
      <c r="AA123" s="1" t="s">
        <v>14</v>
      </c>
    </row>
    <row r="124" spans="1:27" ht="12.75">
      <c r="A124" s="3" t="s">
        <v>414</v>
      </c>
      <c r="B124" s="1" t="s">
        <v>415</v>
      </c>
      <c r="C124" s="1" t="s">
        <v>262</v>
      </c>
      <c r="D124" s="1" t="s">
        <v>67</v>
      </c>
      <c r="E124" s="6" t="str">
        <f>HYPERLINK("https://www.bioscidb.com/browse/deal_bg/4162","Link")</f>
        <v>Link</v>
      </c>
      <c r="F124" s="1" t="s">
        <v>69</v>
      </c>
      <c r="G124" s="16" t="s">
        <v>30</v>
      </c>
      <c r="H124" s="4">
        <v>375</v>
      </c>
      <c r="I124" s="4">
        <v>110</v>
      </c>
      <c r="J124" s="4" t="s">
        <v>14</v>
      </c>
      <c r="K124" s="20">
        <f>I124/H124</f>
        <v>0.29333333333333333</v>
      </c>
      <c r="L124" s="5" t="s">
        <v>14</v>
      </c>
      <c r="M124" s="4">
        <v>265</v>
      </c>
      <c r="N124" s="4"/>
      <c r="O124" s="4" t="s">
        <v>14</v>
      </c>
      <c r="P124" s="4"/>
      <c r="Q124" s="4" t="s">
        <v>14</v>
      </c>
      <c r="R124" s="4"/>
      <c r="S124" s="4" t="s">
        <v>14</v>
      </c>
      <c r="T124" s="4"/>
      <c r="U124" s="8"/>
      <c r="V124" s="4"/>
      <c r="W124" s="1" t="s">
        <v>14</v>
      </c>
      <c r="X124" s="1" t="s">
        <v>79</v>
      </c>
      <c r="Y124" s="1" t="s">
        <v>55</v>
      </c>
      <c r="Z124" s="1" t="s">
        <v>22</v>
      </c>
      <c r="AA124" s="1" t="s">
        <v>14</v>
      </c>
    </row>
    <row r="125" spans="1:27" ht="12.75">
      <c r="A125" s="3" t="s">
        <v>416</v>
      </c>
      <c r="B125" s="1" t="s">
        <v>417</v>
      </c>
      <c r="C125" s="1" t="s">
        <v>418</v>
      </c>
      <c r="D125" s="1" t="s">
        <v>131</v>
      </c>
      <c r="E125" s="6" t="str">
        <f>HYPERLINK("https://www.bioscidb.com/browse/deal_bg/4203","Link")</f>
        <v>Link</v>
      </c>
      <c r="F125" s="1" t="s">
        <v>69</v>
      </c>
      <c r="G125" s="16" t="s">
        <v>30</v>
      </c>
      <c r="H125" s="4" t="s">
        <v>14</v>
      </c>
      <c r="I125" s="4" t="s">
        <v>14</v>
      </c>
      <c r="J125" s="4" t="s">
        <v>14</v>
      </c>
      <c r="K125" s="20"/>
      <c r="L125" s="5" t="s">
        <v>14</v>
      </c>
      <c r="M125" s="4" t="s">
        <v>14</v>
      </c>
      <c r="N125" s="4"/>
      <c r="O125" s="4" t="s">
        <v>14</v>
      </c>
      <c r="P125" s="4"/>
      <c r="Q125" s="4" t="s">
        <v>14</v>
      </c>
      <c r="R125" s="4"/>
      <c r="S125" s="4">
        <v>4</v>
      </c>
      <c r="T125" s="4"/>
      <c r="U125" s="8"/>
      <c r="V125" s="4"/>
      <c r="W125" s="1" t="s">
        <v>14</v>
      </c>
      <c r="X125" s="1" t="s">
        <v>14</v>
      </c>
      <c r="Y125" s="1" t="s">
        <v>21</v>
      </c>
      <c r="Z125" s="1" t="s">
        <v>131</v>
      </c>
      <c r="AA125" s="1" t="s">
        <v>419</v>
      </c>
    </row>
    <row r="126" spans="1:27" ht="12.75">
      <c r="A126" s="3" t="s">
        <v>416</v>
      </c>
      <c r="B126" s="1" t="s">
        <v>422</v>
      </c>
      <c r="C126" s="1" t="s">
        <v>247</v>
      </c>
      <c r="D126" s="17" t="s">
        <v>159</v>
      </c>
      <c r="E126" s="6" t="str">
        <f>HYPERLINK("https://www.bioscidb.com/browse/deal_bg/3977","Link")</f>
        <v>Link</v>
      </c>
      <c r="F126" s="1" t="s">
        <v>27</v>
      </c>
      <c r="G126" s="16" t="s">
        <v>30</v>
      </c>
      <c r="H126" s="4">
        <v>840</v>
      </c>
      <c r="I126" s="4">
        <v>680</v>
      </c>
      <c r="J126" s="4" t="s">
        <v>14</v>
      </c>
      <c r="K126" s="20">
        <f>I126/H126</f>
        <v>0.8095238095238095</v>
      </c>
      <c r="L126" s="5" t="s">
        <v>19</v>
      </c>
      <c r="M126" s="4">
        <v>160</v>
      </c>
      <c r="N126" s="6" t="str">
        <f>HYPERLINK("https://www.bioscidb.com/tag/gettag/9523c240-6cf0-4b18-9497-dae18cc9571d","Tag")</f>
        <v>Tag</v>
      </c>
      <c r="O126" s="4" t="s">
        <v>14</v>
      </c>
      <c r="P126" s="4"/>
      <c r="Q126" s="4" t="s">
        <v>14</v>
      </c>
      <c r="R126" s="4"/>
      <c r="S126" s="4" t="s">
        <v>14</v>
      </c>
      <c r="T126" s="6" t="str">
        <f>HYPERLINK("https://www.bioscidb.com/tag/gettag/0125f1d7-f6b3-402d-91ab-96310899f2b3","Tag")</f>
        <v>Tag</v>
      </c>
      <c r="U126" s="9">
        <v>2.2</v>
      </c>
      <c r="V126" s="6" t="str">
        <f>HYPERLINK("https://www.bioscidb.com/tag/gettag/07b41d19-668f-459c-8ad9-32d61161f536","Tag")</f>
        <v>Tag</v>
      </c>
      <c r="W126" s="1" t="s">
        <v>211</v>
      </c>
      <c r="X126" s="1" t="s">
        <v>23</v>
      </c>
      <c r="Y126" s="1" t="s">
        <v>317</v>
      </c>
      <c r="Z126" s="1" t="s">
        <v>383</v>
      </c>
      <c r="AA126" s="1" t="s">
        <v>423</v>
      </c>
    </row>
    <row r="127" spans="1:27" ht="12.75">
      <c r="A127" s="3" t="s">
        <v>401</v>
      </c>
      <c r="B127" s="1" t="s">
        <v>483</v>
      </c>
      <c r="C127" s="1" t="s">
        <v>484</v>
      </c>
      <c r="D127" s="1" t="s">
        <v>90</v>
      </c>
      <c r="E127" s="6" t="str">
        <f>HYPERLINK("https://www.bioscidb.com/browse/deal_bg/11055","Link")</f>
        <v>Link</v>
      </c>
      <c r="F127" s="1" t="s">
        <v>45</v>
      </c>
      <c r="G127" s="16" t="s">
        <v>485</v>
      </c>
      <c r="H127" s="4">
        <v>10.2</v>
      </c>
      <c r="I127" s="4">
        <v>0.5</v>
      </c>
      <c r="J127" s="4" t="s">
        <v>14</v>
      </c>
      <c r="K127" s="20">
        <f>I127/H127</f>
        <v>0.04901960784313726</v>
      </c>
      <c r="L127" s="5" t="s">
        <v>14</v>
      </c>
      <c r="M127" s="4">
        <v>9.7</v>
      </c>
      <c r="N127" s="4"/>
      <c r="O127" s="4" t="s">
        <v>14</v>
      </c>
      <c r="P127" s="4"/>
      <c r="Q127" s="4" t="s">
        <v>14</v>
      </c>
      <c r="R127" s="4"/>
      <c r="S127" s="4" t="s">
        <v>14</v>
      </c>
      <c r="T127" s="4"/>
      <c r="U127" s="8"/>
      <c r="V127" s="4"/>
      <c r="W127" s="1" t="s">
        <v>14</v>
      </c>
      <c r="X127" s="1" t="s">
        <v>211</v>
      </c>
      <c r="Y127" s="1" t="s">
        <v>55</v>
      </c>
      <c r="Z127" s="1" t="s">
        <v>14</v>
      </c>
      <c r="AA127" s="1" t="s">
        <v>14</v>
      </c>
    </row>
    <row r="128" spans="1:27" ht="12.75">
      <c r="A128" s="3" t="s">
        <v>401</v>
      </c>
      <c r="B128" s="1" t="s">
        <v>427</v>
      </c>
      <c r="C128" s="1" t="s">
        <v>192</v>
      </c>
      <c r="D128" s="17" t="s">
        <v>43</v>
      </c>
      <c r="E128" s="6" t="str">
        <f>HYPERLINK("https://www.bioscidb.com/browse/deal_bg/4253","Link")</f>
        <v>Link</v>
      </c>
      <c r="F128" s="1" t="s">
        <v>45</v>
      </c>
      <c r="G128" s="16" t="s">
        <v>100</v>
      </c>
      <c r="H128" s="4">
        <v>130</v>
      </c>
      <c r="I128" s="4">
        <v>20</v>
      </c>
      <c r="J128" s="4">
        <v>15</v>
      </c>
      <c r="K128" s="20">
        <f>(I128+J128)/H128</f>
        <v>0.2692307692307692</v>
      </c>
      <c r="L128" s="5" t="s">
        <v>14</v>
      </c>
      <c r="M128" s="4">
        <v>50</v>
      </c>
      <c r="N128" s="4"/>
      <c r="O128" s="4" t="s">
        <v>14</v>
      </c>
      <c r="P128" s="4"/>
      <c r="Q128" s="4">
        <v>45</v>
      </c>
      <c r="R128" s="4"/>
      <c r="S128" s="4" t="s">
        <v>14</v>
      </c>
      <c r="T128" s="4"/>
      <c r="U128" s="8"/>
      <c r="V128" s="4"/>
      <c r="W128" s="1" t="s">
        <v>14</v>
      </c>
      <c r="X128" s="1" t="s">
        <v>14</v>
      </c>
      <c r="Y128" s="1" t="s">
        <v>139</v>
      </c>
      <c r="Z128" s="1" t="s">
        <v>22</v>
      </c>
      <c r="AA128" s="1" t="s">
        <v>428</v>
      </c>
    </row>
    <row r="129" spans="1:27" ht="12.75">
      <c r="A129" s="3" t="s">
        <v>401</v>
      </c>
      <c r="B129" s="1" t="s">
        <v>402</v>
      </c>
      <c r="C129" s="1" t="s">
        <v>403</v>
      </c>
      <c r="D129" s="1" t="s">
        <v>56</v>
      </c>
      <c r="E129" s="6" t="str">
        <f>HYPERLINK("https://www.bioscidb.com/browse/deal_bg/3795","Link")</f>
        <v>Link</v>
      </c>
      <c r="F129" s="1" t="s">
        <v>27</v>
      </c>
      <c r="G129" s="16" t="s">
        <v>82</v>
      </c>
      <c r="H129" s="4">
        <v>821.8</v>
      </c>
      <c r="I129" s="4">
        <v>675</v>
      </c>
      <c r="J129" s="4" t="s">
        <v>14</v>
      </c>
      <c r="K129" s="20">
        <f>I129/H129</f>
        <v>0.8213677293745437</v>
      </c>
      <c r="L129" s="5" t="s">
        <v>19</v>
      </c>
      <c r="M129" s="4">
        <v>58.7</v>
      </c>
      <c r="N129" s="4"/>
      <c r="O129" s="4" t="s">
        <v>14</v>
      </c>
      <c r="P129" s="6" t="str">
        <f>HYPERLINK("https://www.bioscidb.com/tag/gettag/f503ad74-6dc7-41c2-83cb-ef102a969aae","Tag")</f>
        <v>Tag</v>
      </c>
      <c r="Q129" s="4">
        <v>88.1</v>
      </c>
      <c r="R129" s="6" t="str">
        <f>HYPERLINK("https://www.bioscidb.com/tag/gettag/46a441df-6a56-4315-9fc5-4e866319bb37","Tag")</f>
        <v>Tag</v>
      </c>
      <c r="S129" s="4" t="s">
        <v>14</v>
      </c>
      <c r="T129" s="6" t="str">
        <f>HYPERLINK("https://www.bioscidb.com/tag/gettag/d6054670-87b2-42f3-9934-5e8c5b880447","Tag")</f>
        <v>Tag</v>
      </c>
      <c r="U129" s="8">
        <v>4</v>
      </c>
      <c r="V129" s="6" t="str">
        <f>HYPERLINK("https://www.bioscidb.com/tag/gettag/e88353cf-77d0-41a8-a633-ce8858d6ddf3","Tag")</f>
        <v>Tag</v>
      </c>
      <c r="W129" s="1" t="s">
        <v>14</v>
      </c>
      <c r="X129" s="1" t="s">
        <v>66</v>
      </c>
      <c r="Y129" s="1" t="s">
        <v>83</v>
      </c>
      <c r="Z129" s="1" t="s">
        <v>405</v>
      </c>
      <c r="AA129" s="1" t="s">
        <v>404</v>
      </c>
    </row>
    <row r="130" spans="1:27" ht="12.75">
      <c r="A130" s="3" t="s">
        <v>373</v>
      </c>
      <c r="B130" s="1" t="s">
        <v>374</v>
      </c>
      <c r="C130" s="1" t="s">
        <v>105</v>
      </c>
      <c r="D130" s="1" t="s">
        <v>50</v>
      </c>
      <c r="E130" s="6" t="str">
        <f>HYPERLINK("https://www.bioscidb.com/browse/deal_bg/3746","Link")</f>
        <v>Link</v>
      </c>
      <c r="F130" s="1" t="s">
        <v>27</v>
      </c>
      <c r="G130" s="16" t="s">
        <v>82</v>
      </c>
      <c r="H130" s="4">
        <v>410</v>
      </c>
      <c r="I130" s="4">
        <v>315</v>
      </c>
      <c r="J130" s="4" t="s">
        <v>14</v>
      </c>
      <c r="K130" s="20">
        <f>I130/H130</f>
        <v>0.7682926829268293</v>
      </c>
      <c r="L130" s="5" t="s">
        <v>19</v>
      </c>
      <c r="M130" s="4">
        <v>95</v>
      </c>
      <c r="N130" s="6" t="str">
        <f>HYPERLINK("https://www.bioscidb.com/tag/gettag/a701dec3-4560-488a-92bf-705c4a4d4072","Tag")</f>
        <v>Tag</v>
      </c>
      <c r="O130" s="4" t="s">
        <v>14</v>
      </c>
      <c r="P130" s="4"/>
      <c r="Q130" s="4" t="s">
        <v>14</v>
      </c>
      <c r="R130" s="4"/>
      <c r="S130" s="4" t="s">
        <v>14</v>
      </c>
      <c r="T130" s="6" t="str">
        <f>HYPERLINK("https://www.bioscidb.com/tag/gettag/ffea213b-c6ab-4b28-b0e3-1b1e9bf33095","Tag")</f>
        <v>Tag</v>
      </c>
      <c r="U130" s="8">
        <v>10</v>
      </c>
      <c r="V130" s="6" t="str">
        <f>HYPERLINK("https://www.bioscidb.com/tag/gettag/bda1a8a4-b273-4892-a92e-ba203121bdbf","Tag")</f>
        <v>Tag</v>
      </c>
      <c r="W130" s="1" t="s">
        <v>211</v>
      </c>
      <c r="X130" s="1" t="s">
        <v>54</v>
      </c>
      <c r="Y130" s="1" t="s">
        <v>55</v>
      </c>
      <c r="Z130" s="1" t="s">
        <v>22</v>
      </c>
      <c r="AA130" s="1" t="s">
        <v>375</v>
      </c>
    </row>
    <row r="131" spans="1:27" ht="25.5">
      <c r="A131" s="3" t="s">
        <v>373</v>
      </c>
      <c r="B131" s="1" t="s">
        <v>442</v>
      </c>
      <c r="C131" s="1" t="s">
        <v>443</v>
      </c>
      <c r="D131" s="17" t="s">
        <v>43</v>
      </c>
      <c r="E131" s="6" t="str">
        <f>HYPERLINK("https://www.bioscidb.com/browse/deal_bg/4403","Link")</f>
        <v>Link</v>
      </c>
      <c r="F131" s="1" t="s">
        <v>45</v>
      </c>
      <c r="G131" s="16" t="s">
        <v>444</v>
      </c>
      <c r="H131" s="4">
        <v>14</v>
      </c>
      <c r="I131" s="4">
        <v>0.275</v>
      </c>
      <c r="J131" s="4">
        <v>3.75</v>
      </c>
      <c r="K131" s="20">
        <f>(I131+J131)/H131</f>
        <v>0.28750000000000003</v>
      </c>
      <c r="L131" s="5" t="s">
        <v>14</v>
      </c>
      <c r="M131" s="4" t="s">
        <v>14</v>
      </c>
      <c r="N131" s="4"/>
      <c r="O131" s="4" t="s">
        <v>14</v>
      </c>
      <c r="P131" s="4"/>
      <c r="Q131" s="4" t="s">
        <v>14</v>
      </c>
      <c r="R131" s="4"/>
      <c r="S131" s="4" t="s">
        <v>14</v>
      </c>
      <c r="T131" s="4"/>
      <c r="U131" s="8"/>
      <c r="V131" s="4"/>
      <c r="W131" s="1" t="s">
        <v>14</v>
      </c>
      <c r="X131" s="1" t="s">
        <v>14</v>
      </c>
      <c r="Y131" s="1" t="s">
        <v>55</v>
      </c>
      <c r="Z131" s="1" t="s">
        <v>446</v>
      </c>
      <c r="AA131" s="1" t="s">
        <v>445</v>
      </c>
    </row>
    <row r="132" spans="1:27" ht="12.75">
      <c r="A132" s="3" t="s">
        <v>373</v>
      </c>
      <c r="B132" s="1" t="s">
        <v>332</v>
      </c>
      <c r="C132" s="1" t="s">
        <v>376</v>
      </c>
      <c r="D132" s="1" t="s">
        <v>56</v>
      </c>
      <c r="E132" s="6" t="str">
        <f>HYPERLINK("https://www.bioscidb.com/browse/deal_bg/3747","Link")</f>
        <v>Link</v>
      </c>
      <c r="F132" s="1" t="s">
        <v>27</v>
      </c>
      <c r="G132" s="16" t="s">
        <v>100</v>
      </c>
      <c r="H132" s="4">
        <v>1025</v>
      </c>
      <c r="I132" s="4">
        <v>600</v>
      </c>
      <c r="J132" s="4">
        <v>75</v>
      </c>
      <c r="K132" s="20">
        <f>(I132+J132)/H132</f>
        <v>0.6585365853658537</v>
      </c>
      <c r="L132" s="5" t="s">
        <v>19</v>
      </c>
      <c r="M132" s="4" t="s">
        <v>14</v>
      </c>
      <c r="N132" s="4"/>
      <c r="O132" s="4" t="s">
        <v>14</v>
      </c>
      <c r="P132" s="4"/>
      <c r="Q132" s="4">
        <v>350</v>
      </c>
      <c r="R132" s="6" t="str">
        <f>HYPERLINK("https://www.bioscidb.com/tag/gettag/9981f454-4a8c-413c-8bb7-988075b1925d","Tag")</f>
        <v>Tag</v>
      </c>
      <c r="S132" s="4" t="s">
        <v>14</v>
      </c>
      <c r="T132" s="6" t="str">
        <f>HYPERLINK("https://www.bioscidb.com/tag/gettag/90c12c27-b26d-4b8b-a5ea-7569c5e65806","Tag")</f>
        <v>Tag</v>
      </c>
      <c r="U132" s="8">
        <v>5.2</v>
      </c>
      <c r="V132" s="6" t="str">
        <f>HYPERLINK("https://www.bioscidb.com/tag/gettag/026fc20e-454e-4bc7-b433-0cd572c324e6","Tag")</f>
        <v>Tag</v>
      </c>
      <c r="W132" s="1" t="s">
        <v>14</v>
      </c>
      <c r="X132" s="1" t="s">
        <v>14</v>
      </c>
      <c r="Y132" s="1" t="s">
        <v>378</v>
      </c>
      <c r="Z132" s="1" t="s">
        <v>22</v>
      </c>
      <c r="AA132" s="1" t="s">
        <v>377</v>
      </c>
    </row>
    <row r="133" spans="1:27" ht="12.75">
      <c r="A133" s="3" t="s">
        <v>152</v>
      </c>
      <c r="B133" s="1" t="s">
        <v>153</v>
      </c>
      <c r="C133" s="1" t="s">
        <v>154</v>
      </c>
      <c r="D133" s="17" t="s">
        <v>50</v>
      </c>
      <c r="E133" s="6" t="str">
        <f>HYPERLINK("https://www.bioscidb.com/browse/deal_bg/3221","Link")</f>
        <v>Link</v>
      </c>
      <c r="F133" s="1" t="s">
        <v>69</v>
      </c>
      <c r="G133" s="16" t="s">
        <v>155</v>
      </c>
      <c r="H133" s="4">
        <v>120</v>
      </c>
      <c r="I133" s="4" t="s">
        <v>14</v>
      </c>
      <c r="J133" s="4">
        <v>65</v>
      </c>
      <c r="K133" s="20">
        <f>J133/H133</f>
        <v>0.5416666666666666</v>
      </c>
      <c r="L133" s="5" t="s">
        <v>14</v>
      </c>
      <c r="M133" s="4" t="s">
        <v>14</v>
      </c>
      <c r="N133" s="4"/>
      <c r="O133" s="4" t="s">
        <v>14</v>
      </c>
      <c r="P133" s="4"/>
      <c r="Q133" s="4" t="s">
        <v>14</v>
      </c>
      <c r="R133" s="4"/>
      <c r="S133" s="4" t="s">
        <v>14</v>
      </c>
      <c r="T133" s="4"/>
      <c r="U133" s="8"/>
      <c r="V133" s="4"/>
      <c r="W133" s="1" t="s">
        <v>14</v>
      </c>
      <c r="X133" s="1" t="s">
        <v>14</v>
      </c>
      <c r="Y133" s="1" t="s">
        <v>156</v>
      </c>
      <c r="Z133" s="1" t="s">
        <v>89</v>
      </c>
      <c r="AA133" s="1" t="s">
        <v>14</v>
      </c>
    </row>
    <row r="134" spans="1:27" ht="12.75">
      <c r="A134" s="3" t="s">
        <v>152</v>
      </c>
      <c r="B134" s="1" t="s">
        <v>141</v>
      </c>
      <c r="C134" s="1" t="s">
        <v>118</v>
      </c>
      <c r="D134" s="1" t="s">
        <v>56</v>
      </c>
      <c r="E134" s="6" t="str">
        <f>HYPERLINK("https://www.bioscidb.com/browse/deal_bg/3375","Link")</f>
        <v>Link</v>
      </c>
      <c r="F134" s="1" t="s">
        <v>69</v>
      </c>
      <c r="G134" s="16" t="s">
        <v>157</v>
      </c>
      <c r="H134" s="4">
        <v>2095</v>
      </c>
      <c r="I134" s="4">
        <v>875</v>
      </c>
      <c r="J134" s="4" t="s">
        <v>14</v>
      </c>
      <c r="K134" s="20">
        <f>I134/H134</f>
        <v>0.41766109785202865</v>
      </c>
      <c r="L134" s="5" t="s">
        <v>14</v>
      </c>
      <c r="M134" s="4" t="s">
        <v>14</v>
      </c>
      <c r="N134" s="4"/>
      <c r="O134" s="4" t="s">
        <v>14</v>
      </c>
      <c r="P134" s="4"/>
      <c r="Q134" s="4" t="s">
        <v>14</v>
      </c>
      <c r="R134" s="4"/>
      <c r="S134" s="4" t="s">
        <v>14</v>
      </c>
      <c r="T134" s="4"/>
      <c r="U134" s="8"/>
      <c r="V134" s="4"/>
      <c r="W134" s="1" t="s">
        <v>66</v>
      </c>
      <c r="X134" s="1" t="s">
        <v>79</v>
      </c>
      <c r="Y134" s="1" t="s">
        <v>61</v>
      </c>
      <c r="Z134" s="1" t="s">
        <v>89</v>
      </c>
      <c r="AA134" s="1" t="s">
        <v>158</v>
      </c>
    </row>
    <row r="135" spans="1:27" ht="12.75">
      <c r="A135" s="3" t="s">
        <v>384</v>
      </c>
      <c r="B135" s="1" t="s">
        <v>385</v>
      </c>
      <c r="C135" s="1" t="s">
        <v>386</v>
      </c>
      <c r="D135" s="1" t="s">
        <v>90</v>
      </c>
      <c r="E135" s="6" t="str">
        <f>HYPERLINK("https://www.bioscidb.com/browse/deal_bg/3203","Link")</f>
        <v>Link</v>
      </c>
      <c r="F135" s="1" t="s">
        <v>45</v>
      </c>
      <c r="G135" s="16" t="s">
        <v>100</v>
      </c>
      <c r="H135" s="4">
        <v>159</v>
      </c>
      <c r="I135" s="4" t="s">
        <v>14</v>
      </c>
      <c r="J135" s="4">
        <v>24</v>
      </c>
      <c r="K135" s="20">
        <f>J135/H135</f>
        <v>0.1509433962264151</v>
      </c>
      <c r="L135" s="5" t="s">
        <v>14</v>
      </c>
      <c r="M135" s="4">
        <v>35</v>
      </c>
      <c r="N135" s="4"/>
      <c r="O135" s="4" t="s">
        <v>14</v>
      </c>
      <c r="P135" s="4"/>
      <c r="Q135" s="4">
        <v>100</v>
      </c>
      <c r="R135" s="4"/>
      <c r="S135" s="4" t="s">
        <v>14</v>
      </c>
      <c r="T135" s="4"/>
      <c r="U135" s="8"/>
      <c r="V135" s="4"/>
      <c r="W135" s="1" t="s">
        <v>14</v>
      </c>
      <c r="X135" s="1" t="s">
        <v>211</v>
      </c>
      <c r="Y135" s="1" t="s">
        <v>55</v>
      </c>
      <c r="Z135" s="1" t="s">
        <v>383</v>
      </c>
      <c r="AA135" s="1" t="s">
        <v>14</v>
      </c>
    </row>
    <row r="136" spans="1:27" ht="25.5">
      <c r="A136" s="3" t="s">
        <v>384</v>
      </c>
      <c r="B136" s="1" t="s">
        <v>930</v>
      </c>
      <c r="C136" s="1" t="s">
        <v>931</v>
      </c>
      <c r="D136" s="1" t="s">
        <v>131</v>
      </c>
      <c r="E136" s="6" t="str">
        <f>HYPERLINK("https://www.bioscidb.com/browse/deal_bg/2915","Link")</f>
        <v>Link</v>
      </c>
      <c r="F136" s="1" t="s">
        <v>15</v>
      </c>
      <c r="G136" s="16" t="s">
        <v>932</v>
      </c>
      <c r="H136" s="4">
        <v>42.9</v>
      </c>
      <c r="I136" s="4">
        <v>20.5</v>
      </c>
      <c r="J136" s="4">
        <v>4</v>
      </c>
      <c r="K136" s="20">
        <f>(I136+J136)/H136</f>
        <v>0.5710955710955711</v>
      </c>
      <c r="L136" s="5" t="s">
        <v>19</v>
      </c>
      <c r="M136" s="4" t="s">
        <v>14</v>
      </c>
      <c r="N136" s="4"/>
      <c r="O136" s="4">
        <v>7.5</v>
      </c>
      <c r="P136" s="6" t="str">
        <f>HYPERLINK("https://www.bioscidb.com/tag/gettag/0b379c53-f9a5-48b4-934d-062152b79d8f","Tag")</f>
        <v>Tag</v>
      </c>
      <c r="Q136" s="4">
        <v>10.9</v>
      </c>
      <c r="R136" s="6" t="str">
        <f>HYPERLINK("https://www.bioscidb.com/tag/gettag/dff2c468-1649-4af9-8329-c9a7edf68141","Tag")</f>
        <v>Tag</v>
      </c>
      <c r="S136" s="4" t="s">
        <v>14</v>
      </c>
      <c r="T136" s="6" t="str">
        <f>HYPERLINK("https://www.bioscidb.com/tag/gettag/bdf8b285-a2d9-4550-b339-5880b5426944","Tag")</f>
        <v>Tag</v>
      </c>
      <c r="U136" s="8">
        <v>2.5</v>
      </c>
      <c r="V136" s="6" t="str">
        <f>HYPERLINK("https://www.bioscidb.com/tag/gettag/7ee81cb3-02f3-4bac-9e40-f2173f2553f1","Tag")</f>
        <v>Tag</v>
      </c>
      <c r="W136" s="1" t="s">
        <v>14</v>
      </c>
      <c r="X136" s="1" t="s">
        <v>14</v>
      </c>
      <c r="Y136" s="1" t="s">
        <v>346</v>
      </c>
      <c r="Z136" s="1" t="s">
        <v>131</v>
      </c>
      <c r="AA136" s="1" t="s">
        <v>933</v>
      </c>
    </row>
    <row r="137" spans="1:27" ht="12.75">
      <c r="A137" s="3" t="s">
        <v>392</v>
      </c>
      <c r="B137" s="1" t="s">
        <v>393</v>
      </c>
      <c r="C137" s="1" t="s">
        <v>394</v>
      </c>
      <c r="D137" s="1" t="s">
        <v>56</v>
      </c>
      <c r="E137" s="6" t="str">
        <f>HYPERLINK("https://www.bioscidb.com/browse/deal_bg/2628","Link")</f>
        <v>Link</v>
      </c>
      <c r="F137" s="1" t="s">
        <v>27</v>
      </c>
      <c r="G137" s="16" t="s">
        <v>395</v>
      </c>
      <c r="H137" s="4">
        <v>658</v>
      </c>
      <c r="I137" s="4">
        <v>530</v>
      </c>
      <c r="J137" s="4" t="s">
        <v>14</v>
      </c>
      <c r="K137" s="20">
        <f>I137/H137</f>
        <v>0.8054711246200608</v>
      </c>
      <c r="L137" s="5" t="s">
        <v>19</v>
      </c>
      <c r="M137" s="4" t="s">
        <v>14</v>
      </c>
      <c r="N137" s="4"/>
      <c r="O137" s="4" t="s">
        <v>14</v>
      </c>
      <c r="P137" s="4"/>
      <c r="Q137" s="4">
        <v>128</v>
      </c>
      <c r="R137" s="6" t="str">
        <f>HYPERLINK("https://www.bioscidb.com/tag/gettag/1c8c1520-d129-4eb0-9ac4-d3fbcf0be0dd","Tag")</f>
        <v>Tag</v>
      </c>
      <c r="S137" s="4" t="s">
        <v>14</v>
      </c>
      <c r="T137" s="6" t="str">
        <f>HYPERLINK("https://www.bioscidb.com/tag/gettag/1bb183e8-3408-406b-b5fa-5462e8462bcf","Tag")</f>
        <v>Tag</v>
      </c>
      <c r="U137" s="8">
        <v>3.5</v>
      </c>
      <c r="V137" s="6" t="str">
        <f>HYPERLINK("https://www.bioscidb.com/tag/gettag/89eaf172-ac73-403e-8490-3e1860adac43","Tag")</f>
        <v>Tag</v>
      </c>
      <c r="W137" s="1" t="s">
        <v>14</v>
      </c>
      <c r="X137" s="1" t="s">
        <v>66</v>
      </c>
      <c r="Y137" s="1" t="s">
        <v>139</v>
      </c>
      <c r="Z137" s="1" t="s">
        <v>22</v>
      </c>
      <c r="AA137" s="1" t="s">
        <v>396</v>
      </c>
    </row>
    <row r="138" spans="1:27" ht="12.75">
      <c r="A138" s="3" t="s">
        <v>190</v>
      </c>
      <c r="B138" s="1" t="s">
        <v>433</v>
      </c>
      <c r="C138" s="1" t="s">
        <v>434</v>
      </c>
      <c r="D138" s="1" t="s">
        <v>43</v>
      </c>
      <c r="E138" s="6" t="str">
        <f>HYPERLINK("https://www.bioscidb.com/browse/deal_bg/2482","Link")</f>
        <v>Link</v>
      </c>
      <c r="F138" s="1" t="s">
        <v>27</v>
      </c>
      <c r="G138" s="16" t="s">
        <v>206</v>
      </c>
      <c r="H138" s="4">
        <v>124.1</v>
      </c>
      <c r="I138" s="4" t="s">
        <v>14</v>
      </c>
      <c r="J138" s="4">
        <v>34.1</v>
      </c>
      <c r="K138" s="20">
        <f>J138/H138</f>
        <v>0.27477840451248997</v>
      </c>
      <c r="L138" s="5" t="s">
        <v>19</v>
      </c>
      <c r="M138" s="4">
        <v>40</v>
      </c>
      <c r="N138" s="6" t="str">
        <f>HYPERLINK("https://www.bioscidb.com/tag/gettag/a69c4432-ed22-4b0a-8b32-d6ae483245f1","Tag")</f>
        <v>Tag</v>
      </c>
      <c r="O138" s="4" t="s">
        <v>14</v>
      </c>
      <c r="P138" s="6" t="str">
        <f>HYPERLINK("https://www.bioscidb.com/tag/gettag/a69c4432-ed22-4b0a-8b32-d6ae483245f1","Tag")</f>
        <v>Tag</v>
      </c>
      <c r="Q138" s="4">
        <v>50</v>
      </c>
      <c r="R138" s="6" t="str">
        <f>HYPERLINK("https://www.bioscidb.com/tag/gettag/0eac1d10-93e9-4da8-9fc1-454fc7761061","Tag")</f>
        <v>Tag</v>
      </c>
      <c r="S138" s="4" t="s">
        <v>14</v>
      </c>
      <c r="T138" s="6" t="str">
        <f>HYPERLINK("https://www.bioscidb.com/tag/gettag/2a0e26b1-0495-41b9-b8f7-d2fbc19275d8","Tag")</f>
        <v>Tag</v>
      </c>
      <c r="U138" s="8"/>
      <c r="V138" s="6" t="str">
        <f>HYPERLINK("https://www.bioscidb.com/tag/gettag/0219760a-8715-4ed6-b4a3-8415afad8767","Tag")</f>
        <v>Tag</v>
      </c>
      <c r="W138" s="1" t="s">
        <v>436</v>
      </c>
      <c r="X138" s="1" t="s">
        <v>14</v>
      </c>
      <c r="Y138" s="1" t="s">
        <v>55</v>
      </c>
      <c r="Z138" s="1" t="s">
        <v>437</v>
      </c>
      <c r="AA138" s="1" t="s">
        <v>435</v>
      </c>
    </row>
    <row r="139" spans="1:27" ht="12.75">
      <c r="A139" s="3" t="s">
        <v>190</v>
      </c>
      <c r="B139" s="1" t="s">
        <v>215</v>
      </c>
      <c r="C139" s="1" t="s">
        <v>216</v>
      </c>
      <c r="D139" s="1" t="s">
        <v>50</v>
      </c>
      <c r="E139" s="6" t="str">
        <f>HYPERLINK("https://www.bioscidb.com/browse/deal_bg/2554","Link")</f>
        <v>Link</v>
      </c>
      <c r="F139" s="1" t="s">
        <v>27</v>
      </c>
      <c r="G139" s="16" t="s">
        <v>217</v>
      </c>
      <c r="H139" s="4">
        <v>1460</v>
      </c>
      <c r="I139" s="4">
        <v>1100</v>
      </c>
      <c r="J139" s="4" t="s">
        <v>14</v>
      </c>
      <c r="K139" s="20">
        <f>I139/H139</f>
        <v>0.7534246575342466</v>
      </c>
      <c r="L139" s="5" t="s">
        <v>19</v>
      </c>
      <c r="M139" s="4">
        <v>360</v>
      </c>
      <c r="N139" s="4"/>
      <c r="O139" s="4" t="s">
        <v>14</v>
      </c>
      <c r="P139" s="6" t="str">
        <f>HYPERLINK("https://www.bioscidb.com/tag/gettag/b1caa590-383f-435b-ad23-74d438edfd07","Tag")</f>
        <v>Tag</v>
      </c>
      <c r="Q139" s="4" t="s">
        <v>14</v>
      </c>
      <c r="R139" s="4"/>
      <c r="S139" s="4" t="s">
        <v>14</v>
      </c>
      <c r="T139" s="6" t="str">
        <f>HYPERLINK("https://www.bioscidb.com/tag/gettag/be90d070-b892-410c-b232-328457e05b28","Tag")</f>
        <v>Tag</v>
      </c>
      <c r="U139" s="8">
        <v>2</v>
      </c>
      <c r="V139" s="6" t="str">
        <f>HYPERLINK("https://www.bioscidb.com/tag/gettag/12c49a60-1a74-4c72-98e0-47caeec21ad9","Tag")</f>
        <v>Tag</v>
      </c>
      <c r="W139" s="1" t="s">
        <v>14</v>
      </c>
      <c r="X139" s="1" t="s">
        <v>66</v>
      </c>
      <c r="Y139" s="1" t="s">
        <v>163</v>
      </c>
      <c r="Z139" s="1" t="s">
        <v>22</v>
      </c>
      <c r="AA139" s="1" t="s">
        <v>218</v>
      </c>
    </row>
    <row r="140" spans="1:27" ht="25.5">
      <c r="A140" s="3" t="s">
        <v>190</v>
      </c>
      <c r="B140" s="1" t="s">
        <v>120</v>
      </c>
      <c r="C140" s="1" t="s">
        <v>555</v>
      </c>
      <c r="D140" s="1" t="s">
        <v>56</v>
      </c>
      <c r="E140" s="6" t="str">
        <f>HYPERLINK("https://www.bioscidb.com/browse/deal_bg/2511","Link")</f>
        <v>Link</v>
      </c>
      <c r="F140" s="1" t="s">
        <v>45</v>
      </c>
      <c r="G140" s="16" t="s">
        <v>638</v>
      </c>
      <c r="H140" s="4">
        <v>7050</v>
      </c>
      <c r="I140" s="4">
        <v>5250</v>
      </c>
      <c r="J140" s="4" t="s">
        <v>14</v>
      </c>
      <c r="K140" s="20">
        <f>I140/H140</f>
        <v>0.7446808510638298</v>
      </c>
      <c r="L140" s="5" t="s">
        <v>14</v>
      </c>
      <c r="M140" s="4" t="s">
        <v>14</v>
      </c>
      <c r="N140" s="4"/>
      <c r="O140" s="4">
        <v>1350</v>
      </c>
      <c r="P140" s="4"/>
      <c r="Q140" s="4">
        <v>450</v>
      </c>
      <c r="R140" s="4"/>
      <c r="S140" s="4">
        <v>10</v>
      </c>
      <c r="T140" s="4"/>
      <c r="U140" s="8"/>
      <c r="V140" s="4"/>
      <c r="W140" s="1" t="s">
        <v>79</v>
      </c>
      <c r="X140" s="1" t="s">
        <v>79</v>
      </c>
      <c r="Y140" s="1" t="s">
        <v>640</v>
      </c>
      <c r="Z140" s="1" t="s">
        <v>259</v>
      </c>
      <c r="AA140" s="1" t="s">
        <v>639</v>
      </c>
    </row>
    <row r="141" spans="1:27" ht="25.5">
      <c r="A141" s="3" t="s">
        <v>447</v>
      </c>
      <c r="B141" s="1" t="s">
        <v>448</v>
      </c>
      <c r="C141" s="1" t="s">
        <v>449</v>
      </c>
      <c r="D141" s="1" t="s">
        <v>33</v>
      </c>
      <c r="E141" s="6" t="str">
        <f>HYPERLINK("https://www.bioscidb.com/browse/deal_bg/2273","Link")</f>
        <v>Link</v>
      </c>
      <c r="F141" s="1" t="s">
        <v>27</v>
      </c>
      <c r="G141" s="16" t="s">
        <v>450</v>
      </c>
      <c r="H141" s="4">
        <v>186</v>
      </c>
      <c r="I141" s="4">
        <v>179</v>
      </c>
      <c r="J141" s="4" t="s">
        <v>14</v>
      </c>
      <c r="K141" s="20">
        <f>I141/H141</f>
        <v>0.9623655913978495</v>
      </c>
      <c r="L141" s="5" t="s">
        <v>19</v>
      </c>
      <c r="M141" s="4" t="s">
        <v>14</v>
      </c>
      <c r="N141" s="4"/>
      <c r="O141" s="4" t="s">
        <v>14</v>
      </c>
      <c r="P141" s="4"/>
      <c r="Q141" s="4">
        <v>7</v>
      </c>
      <c r="R141" s="6" t="str">
        <f>HYPERLINK("https://www.bioscidb.com/tag/gettag/36caa7a9-7e83-41ac-bedb-44095f96f0e0","Tag")</f>
        <v>Tag</v>
      </c>
      <c r="S141" s="4" t="s">
        <v>14</v>
      </c>
      <c r="T141" s="6" t="str">
        <f>HYPERLINK("https://www.bioscidb.com/tag/gettag/918d7944-8dd1-4e42-9c9c-9c51aa0bdff3","Tag")</f>
        <v>Tag</v>
      </c>
      <c r="U141" s="8">
        <v>1</v>
      </c>
      <c r="V141" s="6" t="str">
        <f>HYPERLINK("https://www.bioscidb.com/tag/gettag/969b9db1-76ed-45a2-8edc-9a3d4acde391","Tag")</f>
        <v>Tag</v>
      </c>
      <c r="W141" s="1" t="s">
        <v>211</v>
      </c>
      <c r="X141" s="1" t="s">
        <v>14</v>
      </c>
      <c r="Y141" s="1" t="s">
        <v>14</v>
      </c>
      <c r="Z141" s="1" t="s">
        <v>14</v>
      </c>
      <c r="AA141" s="1" t="s">
        <v>451</v>
      </c>
    </row>
    <row r="142" spans="1:27" ht="12.75">
      <c r="A142" s="3" t="s">
        <v>137</v>
      </c>
      <c r="B142" s="1" t="s">
        <v>379</v>
      </c>
      <c r="C142" s="1" t="s">
        <v>380</v>
      </c>
      <c r="D142" s="1" t="s">
        <v>90</v>
      </c>
      <c r="E142" s="6" t="str">
        <f>HYPERLINK("https://www.bioscidb.com/browse/deal_bg/1910","Link")</f>
        <v>Link</v>
      </c>
      <c r="F142" s="1" t="s">
        <v>45</v>
      </c>
      <c r="G142" s="16" t="s">
        <v>381</v>
      </c>
      <c r="H142" s="4">
        <v>314</v>
      </c>
      <c r="I142" s="4">
        <v>25</v>
      </c>
      <c r="J142" s="4">
        <v>174</v>
      </c>
      <c r="K142" s="20">
        <f>(I142+J142)/H142</f>
        <v>0.6337579617834395</v>
      </c>
      <c r="L142" s="5" t="s">
        <v>14</v>
      </c>
      <c r="M142" s="4">
        <v>50</v>
      </c>
      <c r="N142" s="4"/>
      <c r="O142" s="4" t="s">
        <v>14</v>
      </c>
      <c r="P142" s="4"/>
      <c r="Q142" s="4">
        <v>65</v>
      </c>
      <c r="R142" s="4"/>
      <c r="S142" s="4" t="s">
        <v>14</v>
      </c>
      <c r="T142" s="4"/>
      <c r="U142" s="8"/>
      <c r="V142" s="4"/>
      <c r="W142" s="1" t="s">
        <v>79</v>
      </c>
      <c r="X142" s="1" t="s">
        <v>23</v>
      </c>
      <c r="Y142" s="1" t="s">
        <v>14</v>
      </c>
      <c r="Z142" s="1" t="s">
        <v>383</v>
      </c>
      <c r="AA142" s="1" t="s">
        <v>382</v>
      </c>
    </row>
    <row r="143" spans="1:27" ht="25.5">
      <c r="A143" s="3" t="s">
        <v>137</v>
      </c>
      <c r="B143" s="1" t="s">
        <v>830</v>
      </c>
      <c r="C143" s="1" t="s">
        <v>831</v>
      </c>
      <c r="D143" s="17" t="s">
        <v>67</v>
      </c>
      <c r="E143" s="6" t="str">
        <f>HYPERLINK("https://www.bioscidb.com/browse/deal_bg/1924","Link")</f>
        <v>Link</v>
      </c>
      <c r="F143" s="1" t="s">
        <v>15</v>
      </c>
      <c r="G143" s="16" t="s">
        <v>832</v>
      </c>
      <c r="H143" s="4" t="s">
        <v>14</v>
      </c>
      <c r="I143" s="4" t="s">
        <v>14</v>
      </c>
      <c r="J143" s="4" t="s">
        <v>14</v>
      </c>
      <c r="K143" s="20"/>
      <c r="L143" s="5" t="s">
        <v>14</v>
      </c>
      <c r="M143" s="4" t="s">
        <v>14</v>
      </c>
      <c r="N143" s="4"/>
      <c r="O143" s="4" t="s">
        <v>14</v>
      </c>
      <c r="P143" s="4"/>
      <c r="Q143" s="4" t="s">
        <v>14</v>
      </c>
      <c r="R143" s="4"/>
      <c r="S143" s="4" t="s">
        <v>14</v>
      </c>
      <c r="T143" s="4"/>
      <c r="U143" s="8"/>
      <c r="V143" s="4"/>
      <c r="W143" s="1" t="s">
        <v>14</v>
      </c>
      <c r="X143" s="1" t="s">
        <v>14</v>
      </c>
      <c r="Y143" s="1" t="s">
        <v>123</v>
      </c>
      <c r="Z143" s="1" t="s">
        <v>89</v>
      </c>
      <c r="AA143" s="1" t="s">
        <v>14</v>
      </c>
    </row>
    <row r="144" spans="1:27" ht="25.5">
      <c r="A144" s="3" t="s">
        <v>137</v>
      </c>
      <c r="B144" s="1" t="s">
        <v>700</v>
      </c>
      <c r="C144" s="1" t="s">
        <v>782</v>
      </c>
      <c r="D144" s="1" t="s">
        <v>56</v>
      </c>
      <c r="E144" s="6" t="str">
        <f>HYPERLINK("https://www.bioscidb.com/browse/deal_bg/1963","Link")</f>
        <v>Link</v>
      </c>
      <c r="F144" s="1" t="s">
        <v>15</v>
      </c>
      <c r="G144" s="16" t="s">
        <v>783</v>
      </c>
      <c r="H144" s="4">
        <v>250</v>
      </c>
      <c r="I144" s="4">
        <v>1</v>
      </c>
      <c r="J144" s="4" t="s">
        <v>14</v>
      </c>
      <c r="K144" s="20">
        <f>I144/H144</f>
        <v>0.004</v>
      </c>
      <c r="L144" s="5" t="s">
        <v>19</v>
      </c>
      <c r="M144" s="4" t="s">
        <v>14</v>
      </c>
      <c r="N144" s="4"/>
      <c r="O144" s="4" t="s">
        <v>14</v>
      </c>
      <c r="P144" s="4"/>
      <c r="Q144" s="4">
        <v>250</v>
      </c>
      <c r="R144" s="6" t="str">
        <f>HYPERLINK("https://www.bioscidb.com/tag/gettag/7b0e78d3-9fc9-4962-81e7-b4915c5d8830","Tag")</f>
        <v>Tag</v>
      </c>
      <c r="S144" s="4" t="s">
        <v>14</v>
      </c>
      <c r="T144" s="6" t="str">
        <f>HYPERLINK("https://www.bioscidb.com/tag/gettag/c2969a1c-945d-4c19-a7cf-6e2df6b54793","Tag")</f>
        <v>Tag</v>
      </c>
      <c r="U144" s="8">
        <v>3</v>
      </c>
      <c r="V144" s="6" t="str">
        <f>HYPERLINK("https://www.bioscidb.com/tag/gettag/f698f5d5-e372-417c-a2df-482b526c82d2","Tag")</f>
        <v>Tag</v>
      </c>
      <c r="W144" s="1" t="s">
        <v>23</v>
      </c>
      <c r="X144" s="1" t="s">
        <v>14</v>
      </c>
      <c r="Y144" s="1" t="s">
        <v>143</v>
      </c>
      <c r="Z144" s="1" t="s">
        <v>437</v>
      </c>
      <c r="AA144" s="1" t="s">
        <v>14</v>
      </c>
    </row>
    <row r="145" spans="1:27" ht="12.75">
      <c r="A145" s="3" t="s">
        <v>136</v>
      </c>
      <c r="B145" s="1" t="s">
        <v>267</v>
      </c>
      <c r="C145" s="1" t="s">
        <v>268</v>
      </c>
      <c r="D145" s="1" t="s">
        <v>67</v>
      </c>
      <c r="E145" s="6" t="str">
        <f>HYPERLINK("https://www.bioscidb.com/browse/deal_bg/1778","Link")</f>
        <v>Link</v>
      </c>
      <c r="F145" s="1" t="s">
        <v>45</v>
      </c>
      <c r="G145" s="16" t="s">
        <v>82</v>
      </c>
      <c r="H145" s="4">
        <v>474</v>
      </c>
      <c r="I145" s="4">
        <v>140</v>
      </c>
      <c r="J145" s="4" t="s">
        <v>14</v>
      </c>
      <c r="K145" s="20">
        <f>I145/H145</f>
        <v>0.29535864978902954</v>
      </c>
      <c r="L145" s="5" t="s">
        <v>14</v>
      </c>
      <c r="M145" s="4">
        <v>214</v>
      </c>
      <c r="N145" s="4"/>
      <c r="O145" s="4" t="s">
        <v>14</v>
      </c>
      <c r="P145" s="4"/>
      <c r="Q145" s="4">
        <v>120</v>
      </c>
      <c r="R145" s="4"/>
      <c r="S145" s="4" t="s">
        <v>14</v>
      </c>
      <c r="T145" s="4"/>
      <c r="U145" s="8"/>
      <c r="V145" s="4"/>
      <c r="W145" s="1" t="s">
        <v>14</v>
      </c>
      <c r="X145" s="1" t="s">
        <v>14</v>
      </c>
      <c r="Y145" s="1" t="s">
        <v>83</v>
      </c>
      <c r="Z145" s="1" t="s">
        <v>22</v>
      </c>
      <c r="AA145" s="1" t="s">
        <v>269</v>
      </c>
    </row>
    <row r="146" spans="1:27" ht="12.75">
      <c r="A146" s="3" t="s">
        <v>136</v>
      </c>
      <c r="B146" s="1" t="s">
        <v>140</v>
      </c>
      <c r="C146" s="1" t="s">
        <v>141</v>
      </c>
      <c r="D146" s="1" t="s">
        <v>56</v>
      </c>
      <c r="E146" s="6" t="str">
        <f>HYPERLINK("https://www.bioscidb.com/browse/deal_bg/1862","Link")</f>
        <v>Link</v>
      </c>
      <c r="F146" s="1" t="s">
        <v>69</v>
      </c>
      <c r="G146" s="16" t="s">
        <v>30</v>
      </c>
      <c r="H146" s="4">
        <v>380</v>
      </c>
      <c r="I146" s="4">
        <v>305</v>
      </c>
      <c r="J146" s="4" t="s">
        <v>14</v>
      </c>
      <c r="K146" s="20">
        <f>I146/H146</f>
        <v>0.8026315789473685</v>
      </c>
      <c r="L146" s="5" t="s">
        <v>14</v>
      </c>
      <c r="M146" s="4" t="s">
        <v>14</v>
      </c>
      <c r="N146" s="4"/>
      <c r="O146" s="4" t="s">
        <v>14</v>
      </c>
      <c r="P146" s="4"/>
      <c r="Q146" s="4">
        <v>75</v>
      </c>
      <c r="R146" s="4"/>
      <c r="S146" s="4" t="s">
        <v>14</v>
      </c>
      <c r="T146" s="4"/>
      <c r="U146" s="8"/>
      <c r="V146" s="4"/>
      <c r="W146" s="1" t="s">
        <v>14</v>
      </c>
      <c r="X146" s="1" t="s">
        <v>66</v>
      </c>
      <c r="Y146" s="1" t="s">
        <v>143</v>
      </c>
      <c r="Z146" s="1" t="s">
        <v>14</v>
      </c>
      <c r="AA146" s="1" t="s">
        <v>142</v>
      </c>
    </row>
    <row r="147" spans="1:27" ht="25.5">
      <c r="A147" s="3" t="s">
        <v>136</v>
      </c>
      <c r="B147" s="1" t="s">
        <v>260</v>
      </c>
      <c r="C147" s="1" t="s">
        <v>173</v>
      </c>
      <c r="D147" s="1" t="s">
        <v>56</v>
      </c>
      <c r="E147" s="6" t="str">
        <f>HYPERLINK("https://www.bioscidb.com/browse/deal_bg/1917","Link")</f>
        <v>Link</v>
      </c>
      <c r="F147" s="1" t="s">
        <v>45</v>
      </c>
      <c r="G147" s="16" t="s">
        <v>261</v>
      </c>
      <c r="H147" s="4">
        <v>12.5</v>
      </c>
      <c r="I147" s="4">
        <v>12.5</v>
      </c>
      <c r="J147" s="4" t="s">
        <v>14</v>
      </c>
      <c r="K147" s="20"/>
      <c r="L147" s="5" t="s">
        <v>14</v>
      </c>
      <c r="M147" s="4" t="s">
        <v>14</v>
      </c>
      <c r="N147" s="4"/>
      <c r="O147" s="4" t="s">
        <v>14</v>
      </c>
      <c r="P147" s="4"/>
      <c r="Q147" s="4" t="s">
        <v>14</v>
      </c>
      <c r="R147" s="4"/>
      <c r="S147" s="4" t="s">
        <v>14</v>
      </c>
      <c r="T147" s="4"/>
      <c r="U147" s="8"/>
      <c r="V147" s="4"/>
      <c r="W147" s="1" t="s">
        <v>66</v>
      </c>
      <c r="X147" s="1" t="s">
        <v>14</v>
      </c>
      <c r="Y147" s="1" t="s">
        <v>14</v>
      </c>
      <c r="Z147" s="1" t="s">
        <v>178</v>
      </c>
      <c r="AA147" s="1" t="s">
        <v>14</v>
      </c>
    </row>
    <row r="148" spans="1:27" ht="12.75">
      <c r="A148" s="3" t="s">
        <v>127</v>
      </c>
      <c r="B148" s="1" t="s">
        <v>204</v>
      </c>
      <c r="C148" s="1" t="s">
        <v>205</v>
      </c>
      <c r="D148" s="17" t="s">
        <v>90</v>
      </c>
      <c r="E148" s="6" t="str">
        <f>HYPERLINK("https://www.bioscidb.com/browse/deal_bg/1741","Link")</f>
        <v>Link</v>
      </c>
      <c r="F148" s="1" t="s">
        <v>45</v>
      </c>
      <c r="G148" s="16" t="s">
        <v>206</v>
      </c>
      <c r="H148" s="4">
        <v>130</v>
      </c>
      <c r="I148" s="4" t="s">
        <v>14</v>
      </c>
      <c r="J148" s="4">
        <v>15</v>
      </c>
      <c r="K148" s="20">
        <f>J148/H148</f>
        <v>0.11538461538461539</v>
      </c>
      <c r="L148" s="5" t="s">
        <v>14</v>
      </c>
      <c r="M148" s="4" t="s">
        <v>14</v>
      </c>
      <c r="N148" s="4"/>
      <c r="O148" s="4" t="s">
        <v>14</v>
      </c>
      <c r="P148" s="4"/>
      <c r="Q148" s="4" t="s">
        <v>14</v>
      </c>
      <c r="R148" s="4"/>
      <c r="S148" s="4" t="s">
        <v>14</v>
      </c>
      <c r="T148" s="4"/>
      <c r="U148" s="8"/>
      <c r="V148" s="4"/>
      <c r="W148" s="1" t="s">
        <v>14</v>
      </c>
      <c r="X148" s="1" t="s">
        <v>14</v>
      </c>
      <c r="Y148" s="1" t="s">
        <v>49</v>
      </c>
      <c r="Z148" s="1" t="s">
        <v>148</v>
      </c>
      <c r="AA148" s="1" t="s">
        <v>207</v>
      </c>
    </row>
    <row r="149" spans="1:27" ht="12.75">
      <c r="A149" s="3" t="s">
        <v>127</v>
      </c>
      <c r="B149" s="1" t="s">
        <v>397</v>
      </c>
      <c r="C149" s="1" t="s">
        <v>398</v>
      </c>
      <c r="D149" s="1" t="s">
        <v>43</v>
      </c>
      <c r="E149" s="6" t="str">
        <f>HYPERLINK("https://www.bioscidb.com/browse/deal_bg/1730","Link")</f>
        <v>Link</v>
      </c>
      <c r="F149" s="1" t="s">
        <v>27</v>
      </c>
      <c r="G149" s="16" t="s">
        <v>399</v>
      </c>
      <c r="H149" s="4">
        <v>424</v>
      </c>
      <c r="I149" s="4">
        <v>10</v>
      </c>
      <c r="J149" s="4">
        <v>190</v>
      </c>
      <c r="K149" s="20">
        <f>(I149+J149)/H149</f>
        <v>0.4716981132075472</v>
      </c>
      <c r="L149" s="5" t="s">
        <v>19</v>
      </c>
      <c r="M149" s="4">
        <v>148</v>
      </c>
      <c r="N149" s="6" t="str">
        <f>HYPERLINK("https://www.bioscidb.com/tag/gettag/29af524d-677d-4212-aab1-b62e92f9fb00","Tag")</f>
        <v>Tag</v>
      </c>
      <c r="O149" s="4" t="s">
        <v>14</v>
      </c>
      <c r="P149" s="4"/>
      <c r="Q149" s="4">
        <v>76</v>
      </c>
      <c r="R149" s="6" t="str">
        <f>HYPERLINK("https://www.bioscidb.com/tag/gettag/3bbcdd08-2b7e-4e5b-ac63-545176c3e8b6","Tag")</f>
        <v>Tag</v>
      </c>
      <c r="S149" s="4" t="s">
        <v>14</v>
      </c>
      <c r="T149" s="6" t="str">
        <f>HYPERLINK("https://www.bioscidb.com/tag/gettag/4d1dc1b9-c27c-442b-9a0a-3ceba3261d8d","Tag")</f>
        <v>Tag</v>
      </c>
      <c r="U149" s="8"/>
      <c r="V149" s="4"/>
      <c r="W149" s="1" t="s">
        <v>14</v>
      </c>
      <c r="X149" s="1" t="s">
        <v>14</v>
      </c>
      <c r="Y149" s="1" t="s">
        <v>55</v>
      </c>
      <c r="Z149" s="1" t="s">
        <v>22</v>
      </c>
      <c r="AA149" s="1" t="s">
        <v>400</v>
      </c>
    </row>
    <row r="150" spans="1:27" ht="12.75">
      <c r="A150" s="3" t="s">
        <v>127</v>
      </c>
      <c r="B150" s="1" t="s">
        <v>128</v>
      </c>
      <c r="C150" s="1" t="s">
        <v>129</v>
      </c>
      <c r="D150" s="1" t="s">
        <v>43</v>
      </c>
      <c r="E150" s="6" t="str">
        <f>HYPERLINK("https://www.bioscidb.com/browse/deal_bg/1755","Link")</f>
        <v>Link</v>
      </c>
      <c r="F150" s="1" t="s">
        <v>69</v>
      </c>
      <c r="G150" s="16" t="s">
        <v>30</v>
      </c>
      <c r="H150" s="4">
        <v>150</v>
      </c>
      <c r="I150" s="4" t="s">
        <v>14</v>
      </c>
      <c r="J150" s="4" t="s">
        <v>14</v>
      </c>
      <c r="K150" s="20"/>
      <c r="L150" s="5" t="s">
        <v>14</v>
      </c>
      <c r="M150" s="4" t="s">
        <v>14</v>
      </c>
      <c r="N150" s="4"/>
      <c r="O150" s="4" t="s">
        <v>14</v>
      </c>
      <c r="P150" s="4"/>
      <c r="Q150" s="4" t="s">
        <v>14</v>
      </c>
      <c r="R150" s="4"/>
      <c r="S150" s="4" t="s">
        <v>14</v>
      </c>
      <c r="T150" s="4"/>
      <c r="U150" s="8"/>
      <c r="V150" s="4"/>
      <c r="W150" s="1" t="s">
        <v>14</v>
      </c>
      <c r="X150" s="1" t="s">
        <v>14</v>
      </c>
      <c r="Y150" s="1" t="s">
        <v>55</v>
      </c>
      <c r="Z150" s="1" t="s">
        <v>14</v>
      </c>
      <c r="AA150" s="1" t="s">
        <v>130</v>
      </c>
    </row>
    <row r="151" spans="1:27" ht="25.5">
      <c r="A151" s="3" t="s">
        <v>127</v>
      </c>
      <c r="B151" s="1" t="s">
        <v>262</v>
      </c>
      <c r="C151" s="1" t="s">
        <v>263</v>
      </c>
      <c r="D151" s="1" t="s">
        <v>56</v>
      </c>
      <c r="E151" s="6" t="str">
        <f>HYPERLINK("https://www.bioscidb.com/browse/deal_bg/1766","Link")</f>
        <v>Link</v>
      </c>
      <c r="F151" s="1" t="s">
        <v>45</v>
      </c>
      <c r="G151" s="16" t="s">
        <v>264</v>
      </c>
      <c r="H151" s="4">
        <v>231</v>
      </c>
      <c r="I151" s="4">
        <v>155</v>
      </c>
      <c r="J151" s="4" t="s">
        <v>14</v>
      </c>
      <c r="K151" s="20">
        <f>I151/H151</f>
        <v>0.670995670995671</v>
      </c>
      <c r="L151" s="5" t="s">
        <v>19</v>
      </c>
      <c r="M151" s="4" t="s">
        <v>14</v>
      </c>
      <c r="N151" s="4"/>
      <c r="O151" s="4" t="s">
        <v>14</v>
      </c>
      <c r="P151" s="4"/>
      <c r="Q151" s="4" t="s">
        <v>14</v>
      </c>
      <c r="R151" s="6" t="str">
        <f>HYPERLINK("https://www.bioscidb.com/tag/gettag/ba472323-a682-4dc3-a7bd-3dcff1d00c56","Tag")</f>
        <v>Tag</v>
      </c>
      <c r="S151" s="4" t="s">
        <v>14</v>
      </c>
      <c r="T151" s="6" t="str">
        <f>HYPERLINK("https://www.bioscidb.com/tag/gettag/b0f5b8fb-a1d9-49c8-ad4b-344219232018","Tag")</f>
        <v>Tag</v>
      </c>
      <c r="U151" s="8"/>
      <c r="V151" s="4"/>
      <c r="W151" s="1" t="s">
        <v>79</v>
      </c>
      <c r="X151" s="1" t="s">
        <v>66</v>
      </c>
      <c r="Y151" s="1" t="s">
        <v>266</v>
      </c>
      <c r="Z151" s="1" t="s">
        <v>22</v>
      </c>
      <c r="AA151" s="1" t="s">
        <v>265</v>
      </c>
    </row>
    <row r="152" spans="1:27" ht="12.75">
      <c r="A152" s="3" t="s">
        <v>115</v>
      </c>
      <c r="B152" s="1" t="s">
        <v>132</v>
      </c>
      <c r="C152" s="1" t="s">
        <v>133</v>
      </c>
      <c r="D152" s="1" t="s">
        <v>131</v>
      </c>
      <c r="E152" s="6" t="str">
        <f>HYPERLINK("https://www.bioscidb.com/browse/deal_bg/1802","Link")</f>
        <v>Link</v>
      </c>
      <c r="F152" s="1" t="s">
        <v>69</v>
      </c>
      <c r="G152" s="16" t="s">
        <v>134</v>
      </c>
      <c r="H152" s="4">
        <v>110</v>
      </c>
      <c r="I152" s="4">
        <v>75</v>
      </c>
      <c r="J152" s="4">
        <v>15</v>
      </c>
      <c r="K152" s="20">
        <f>(I152+J152)/H152</f>
        <v>0.8181818181818182</v>
      </c>
      <c r="L152" s="5" t="s">
        <v>14</v>
      </c>
      <c r="M152" s="4" t="s">
        <v>14</v>
      </c>
      <c r="N152" s="4"/>
      <c r="O152" s="4" t="s">
        <v>14</v>
      </c>
      <c r="P152" s="4"/>
      <c r="Q152" s="4" t="s">
        <v>14</v>
      </c>
      <c r="R152" s="4"/>
      <c r="S152" s="4" t="s">
        <v>14</v>
      </c>
      <c r="T152" s="4"/>
      <c r="U152" s="8"/>
      <c r="V152" s="4"/>
      <c r="W152" s="1" t="s">
        <v>66</v>
      </c>
      <c r="X152" s="1" t="s">
        <v>14</v>
      </c>
      <c r="Y152" s="1" t="s">
        <v>49</v>
      </c>
      <c r="Z152" s="1" t="s">
        <v>131</v>
      </c>
      <c r="AA152" s="1" t="s">
        <v>135</v>
      </c>
    </row>
    <row r="153" spans="1:27" ht="25.5">
      <c r="A153" s="3" t="s">
        <v>115</v>
      </c>
      <c r="B153" s="1" t="s">
        <v>438</v>
      </c>
      <c r="C153" s="1" t="s">
        <v>439</v>
      </c>
      <c r="D153" s="1" t="s">
        <v>50</v>
      </c>
      <c r="E153" s="6" t="str">
        <f>HYPERLINK("https://www.bioscidb.com/browse/deal_bg/1549","Link")</f>
        <v>Link</v>
      </c>
      <c r="F153" s="1" t="s">
        <v>27</v>
      </c>
      <c r="G153" s="16" t="s">
        <v>440</v>
      </c>
      <c r="H153" s="4">
        <v>100</v>
      </c>
      <c r="I153" s="4">
        <v>35</v>
      </c>
      <c r="J153" s="4">
        <v>15</v>
      </c>
      <c r="K153" s="20">
        <f>(I153+J153)/H153</f>
        <v>0.5</v>
      </c>
      <c r="L153" s="5" t="s">
        <v>19</v>
      </c>
      <c r="M153" s="4">
        <v>50</v>
      </c>
      <c r="N153" s="4"/>
      <c r="O153" s="4" t="s">
        <v>14</v>
      </c>
      <c r="P153" s="6" t="str">
        <f>HYPERLINK("https://www.bioscidb.com/tag/gettag/01edb259-273e-4151-b3b5-5cbc2f93453e","Tag")</f>
        <v>Tag</v>
      </c>
      <c r="Q153" s="4" t="s">
        <v>14</v>
      </c>
      <c r="R153" s="4"/>
      <c r="S153" s="4">
        <v>10</v>
      </c>
      <c r="T153" s="4"/>
      <c r="U153" s="8">
        <v>12</v>
      </c>
      <c r="V153" s="6" t="str">
        <f>HYPERLINK("https://www.bioscidb.com/tag/gettag/895fc3d9-6ab3-4717-93df-39bb4e47478d","Tag")</f>
        <v>Tag</v>
      </c>
      <c r="W153" s="1" t="s">
        <v>14</v>
      </c>
      <c r="X153" s="1" t="s">
        <v>211</v>
      </c>
      <c r="Y153" s="1" t="s">
        <v>441</v>
      </c>
      <c r="Z153" s="1" t="s">
        <v>437</v>
      </c>
      <c r="AA153" s="1" t="s">
        <v>14</v>
      </c>
    </row>
    <row r="154" spans="1:27" ht="12.75">
      <c r="A154" s="3" t="s">
        <v>115</v>
      </c>
      <c r="B154" s="1" t="s">
        <v>119</v>
      </c>
      <c r="C154" s="1" t="s">
        <v>120</v>
      </c>
      <c r="D154" s="1" t="s">
        <v>90</v>
      </c>
      <c r="E154" s="6" t="str">
        <f>HYPERLINK("https://www.bioscidb.com/browse/deal_bg/1604","Link")</f>
        <v>Link</v>
      </c>
      <c r="F154" s="1" t="s">
        <v>69</v>
      </c>
      <c r="G154" s="16" t="s">
        <v>121</v>
      </c>
      <c r="H154" s="4">
        <v>300</v>
      </c>
      <c r="I154" s="4" t="s">
        <v>14</v>
      </c>
      <c r="J154" s="4" t="s">
        <v>14</v>
      </c>
      <c r="K154" s="20"/>
      <c r="L154" s="5" t="s">
        <v>14</v>
      </c>
      <c r="M154" s="4" t="s">
        <v>14</v>
      </c>
      <c r="N154" s="4"/>
      <c r="O154" s="4" t="s">
        <v>14</v>
      </c>
      <c r="P154" s="4"/>
      <c r="Q154" s="4" t="s">
        <v>14</v>
      </c>
      <c r="R154" s="4"/>
      <c r="S154" s="4" t="s">
        <v>14</v>
      </c>
      <c r="T154" s="4"/>
      <c r="U154" s="8"/>
      <c r="V154" s="4"/>
      <c r="W154" s="1" t="s">
        <v>14</v>
      </c>
      <c r="X154" s="1" t="s">
        <v>79</v>
      </c>
      <c r="Y154" s="1" t="s">
        <v>123</v>
      </c>
      <c r="Z154" s="1" t="s">
        <v>22</v>
      </c>
      <c r="AA154" s="1" t="s">
        <v>122</v>
      </c>
    </row>
    <row r="155" spans="1:27" ht="12.75">
      <c r="A155" s="3" t="s">
        <v>115</v>
      </c>
      <c r="B155" s="1" t="s">
        <v>116</v>
      </c>
      <c r="C155" s="1" t="s">
        <v>93</v>
      </c>
      <c r="D155" s="1" t="s">
        <v>90</v>
      </c>
      <c r="E155" s="6" t="str">
        <f>HYPERLINK("https://www.bioscidb.com/browse/deal_bg/1557","Link")</f>
        <v>Link</v>
      </c>
      <c r="F155" s="1" t="s">
        <v>69</v>
      </c>
      <c r="G155" s="16" t="s">
        <v>30</v>
      </c>
      <c r="H155" s="4">
        <v>440</v>
      </c>
      <c r="I155" s="4">
        <v>200</v>
      </c>
      <c r="J155" s="4" t="s">
        <v>14</v>
      </c>
      <c r="K155" s="20">
        <f>I155/H155</f>
        <v>0.45454545454545453</v>
      </c>
      <c r="L155" s="5" t="s">
        <v>14</v>
      </c>
      <c r="M155" s="4">
        <v>240</v>
      </c>
      <c r="N155" s="4"/>
      <c r="O155" s="4" t="s">
        <v>14</v>
      </c>
      <c r="P155" s="4"/>
      <c r="Q155" s="4" t="s">
        <v>14</v>
      </c>
      <c r="R155" s="4"/>
      <c r="S155" s="4" t="s">
        <v>14</v>
      </c>
      <c r="T155" s="4"/>
      <c r="U155" s="8"/>
      <c r="V155" s="4"/>
      <c r="W155" s="1" t="s">
        <v>14</v>
      </c>
      <c r="X155" s="1" t="s">
        <v>79</v>
      </c>
      <c r="Y155" s="1" t="s">
        <v>55</v>
      </c>
      <c r="Z155" s="1" t="s">
        <v>84</v>
      </c>
      <c r="AA155" s="1" t="s">
        <v>14</v>
      </c>
    </row>
    <row r="156" spans="1:27" ht="25.5">
      <c r="A156" s="3" t="s">
        <v>554</v>
      </c>
      <c r="B156" s="1" t="s">
        <v>555</v>
      </c>
      <c r="C156" s="1" t="s">
        <v>556</v>
      </c>
      <c r="D156" s="17" t="s">
        <v>56</v>
      </c>
      <c r="E156" s="6" t="str">
        <f>HYPERLINK("https://www.bioscidb.com/browse/deal_bg/9587","Link")</f>
        <v>Link</v>
      </c>
      <c r="F156" s="1" t="s">
        <v>69</v>
      </c>
      <c r="G156" s="16" t="s">
        <v>557</v>
      </c>
      <c r="H156" s="4">
        <v>1170</v>
      </c>
      <c r="I156" s="4">
        <v>1037</v>
      </c>
      <c r="J156" s="4" t="s">
        <v>14</v>
      </c>
      <c r="K156" s="20">
        <f>I156/H156</f>
        <v>0.8863247863247863</v>
      </c>
      <c r="L156" s="5" t="s">
        <v>14</v>
      </c>
      <c r="M156" s="4" t="s">
        <v>14</v>
      </c>
      <c r="N156" s="4"/>
      <c r="O156" s="4" t="s">
        <v>14</v>
      </c>
      <c r="P156" s="4"/>
      <c r="Q156" s="4" t="s">
        <v>14</v>
      </c>
      <c r="R156" s="4"/>
      <c r="S156" s="4" t="s">
        <v>14</v>
      </c>
      <c r="T156" s="4"/>
      <c r="U156" s="8"/>
      <c r="V156" s="4"/>
      <c r="W156" s="1" t="s">
        <v>79</v>
      </c>
      <c r="X156" s="1" t="s">
        <v>14</v>
      </c>
      <c r="Y156" s="1" t="s">
        <v>123</v>
      </c>
      <c r="Z156" s="1" t="s">
        <v>22</v>
      </c>
      <c r="AA156" s="1" t="s">
        <v>558</v>
      </c>
    </row>
    <row r="157" spans="1:27" ht="12.75">
      <c r="A157" s="3" t="s">
        <v>91</v>
      </c>
      <c r="B157" s="1" t="s">
        <v>101</v>
      </c>
      <c r="C157" s="1" t="s">
        <v>102</v>
      </c>
      <c r="D157" s="17" t="s">
        <v>56</v>
      </c>
      <c r="E157" s="6" t="str">
        <f>HYPERLINK("https://www.bioscidb.com/browse/deal_bg/1241","Link")</f>
        <v>Link</v>
      </c>
      <c r="F157" s="1" t="s">
        <v>69</v>
      </c>
      <c r="G157" s="16" t="s">
        <v>30</v>
      </c>
      <c r="H157" s="4">
        <v>200</v>
      </c>
      <c r="I157" s="4">
        <v>135</v>
      </c>
      <c r="J157" s="4" t="s">
        <v>14</v>
      </c>
      <c r="K157" s="20">
        <f>I157/H157</f>
        <v>0.675</v>
      </c>
      <c r="L157" s="5" t="s">
        <v>14</v>
      </c>
      <c r="M157" s="4">
        <v>10</v>
      </c>
      <c r="N157" s="4"/>
      <c r="O157" s="4" t="s">
        <v>14</v>
      </c>
      <c r="P157" s="4"/>
      <c r="Q157" s="4">
        <v>55</v>
      </c>
      <c r="R157" s="4"/>
      <c r="S157" s="4" t="s">
        <v>14</v>
      </c>
      <c r="T157" s="4"/>
      <c r="U157" s="8"/>
      <c r="V157" s="4"/>
      <c r="W157" s="1" t="s">
        <v>14</v>
      </c>
      <c r="X157" s="1" t="s">
        <v>14</v>
      </c>
      <c r="Y157" s="1" t="s">
        <v>61</v>
      </c>
      <c r="Z157" s="1" t="s">
        <v>89</v>
      </c>
      <c r="AA157" s="1" t="s">
        <v>14</v>
      </c>
    </row>
    <row r="158" spans="1:27" ht="12.75">
      <c r="A158" s="3" t="s">
        <v>91</v>
      </c>
      <c r="B158" s="1" t="s">
        <v>92</v>
      </c>
      <c r="C158" s="1" t="s">
        <v>93</v>
      </c>
      <c r="D158" s="1" t="s">
        <v>90</v>
      </c>
      <c r="E158" s="6" t="str">
        <f>HYPERLINK("https://www.bioscidb.com/browse/deal_bg/1182","Link")</f>
        <v>Link</v>
      </c>
      <c r="F158" s="1" t="s">
        <v>69</v>
      </c>
      <c r="G158" s="16" t="s">
        <v>30</v>
      </c>
      <c r="H158" s="4">
        <v>500</v>
      </c>
      <c r="I158" s="4">
        <v>225</v>
      </c>
      <c r="J158" s="4" t="s">
        <v>14</v>
      </c>
      <c r="K158" s="20">
        <f>I158/H158</f>
        <v>0.45</v>
      </c>
      <c r="L158" s="5" t="s">
        <v>14</v>
      </c>
      <c r="M158" s="4" t="s">
        <v>14</v>
      </c>
      <c r="N158" s="4"/>
      <c r="O158" s="4" t="s">
        <v>14</v>
      </c>
      <c r="P158" s="4"/>
      <c r="Q158" s="4" t="s">
        <v>14</v>
      </c>
      <c r="R158" s="4"/>
      <c r="S158" s="4" t="s">
        <v>14</v>
      </c>
      <c r="T158" s="4"/>
      <c r="U158" s="8"/>
      <c r="V158" s="4"/>
      <c r="W158" s="1" t="s">
        <v>14</v>
      </c>
      <c r="X158" s="1" t="s">
        <v>79</v>
      </c>
      <c r="Y158" s="1" t="s">
        <v>95</v>
      </c>
      <c r="Z158" s="1" t="s">
        <v>96</v>
      </c>
      <c r="AA158" s="1" t="s">
        <v>94</v>
      </c>
    </row>
    <row r="159" spans="1:27" ht="12.75">
      <c r="A159" s="3" t="s">
        <v>91</v>
      </c>
      <c r="B159" s="1" t="s">
        <v>251</v>
      </c>
      <c r="C159" s="1" t="s">
        <v>252</v>
      </c>
      <c r="D159" s="1" t="s">
        <v>43</v>
      </c>
      <c r="E159" s="6" t="str">
        <f>HYPERLINK("https://www.bioscidb.com/browse/deal_bg/1206","Link")</f>
        <v>Link</v>
      </c>
      <c r="F159" s="1" t="s">
        <v>45</v>
      </c>
      <c r="G159" s="16" t="s">
        <v>253</v>
      </c>
      <c r="H159" s="4">
        <v>1.2</v>
      </c>
      <c r="I159" s="4" t="s">
        <v>14</v>
      </c>
      <c r="J159" s="4">
        <v>1.2</v>
      </c>
      <c r="K159" s="20"/>
      <c r="L159" s="5" t="s">
        <v>14</v>
      </c>
      <c r="M159" s="4" t="s">
        <v>14</v>
      </c>
      <c r="N159" s="4"/>
      <c r="O159" s="4" t="s">
        <v>14</v>
      </c>
      <c r="P159" s="4"/>
      <c r="Q159" s="4" t="s">
        <v>14</v>
      </c>
      <c r="R159" s="4"/>
      <c r="S159" s="4" t="s">
        <v>14</v>
      </c>
      <c r="T159" s="4"/>
      <c r="U159" s="8"/>
      <c r="V159" s="4"/>
      <c r="W159" s="1" t="s">
        <v>14</v>
      </c>
      <c r="X159" s="1" t="s">
        <v>14</v>
      </c>
      <c r="Y159" s="1" t="s">
        <v>139</v>
      </c>
      <c r="Z159" s="1" t="s">
        <v>255</v>
      </c>
      <c r="AA159" s="1" t="s">
        <v>254</v>
      </c>
    </row>
    <row r="160" spans="1:27" ht="12.75">
      <c r="A160" s="3" t="s">
        <v>68</v>
      </c>
      <c r="B160" s="1" t="s">
        <v>70</v>
      </c>
      <c r="C160" s="1" t="s">
        <v>71</v>
      </c>
      <c r="D160" s="1" t="s">
        <v>67</v>
      </c>
      <c r="E160" s="6" t="str">
        <f>HYPERLINK("https://www.bioscidb.com/browse/deal_bg/1012","Link")</f>
        <v>Link</v>
      </c>
      <c r="F160" s="1" t="s">
        <v>69</v>
      </c>
      <c r="G160" s="16" t="s">
        <v>72</v>
      </c>
      <c r="H160" s="4">
        <v>1700</v>
      </c>
      <c r="I160" s="4">
        <v>100</v>
      </c>
      <c r="J160" s="4" t="s">
        <v>14</v>
      </c>
      <c r="K160" s="20">
        <f>I160/H160</f>
        <v>0.058823529411764705</v>
      </c>
      <c r="L160" s="5" t="s">
        <v>14</v>
      </c>
      <c r="M160" s="4">
        <v>250</v>
      </c>
      <c r="N160" s="4"/>
      <c r="O160" s="4" t="s">
        <v>14</v>
      </c>
      <c r="P160" s="4"/>
      <c r="Q160" s="4">
        <v>850</v>
      </c>
      <c r="R160" s="4"/>
      <c r="S160" s="4" t="s">
        <v>14</v>
      </c>
      <c r="T160" s="4"/>
      <c r="U160" s="8"/>
      <c r="V160" s="4"/>
      <c r="W160" s="1" t="s">
        <v>14</v>
      </c>
      <c r="X160" s="1" t="s">
        <v>23</v>
      </c>
      <c r="Y160" s="1" t="s">
        <v>74</v>
      </c>
      <c r="Z160" s="1" t="s">
        <v>22</v>
      </c>
      <c r="AA160" s="1" t="s">
        <v>73</v>
      </c>
    </row>
    <row r="161" spans="1:27" ht="12.75">
      <c r="A161" s="3" t="s">
        <v>68</v>
      </c>
      <c r="B161" s="1" t="s">
        <v>85</v>
      </c>
      <c r="C161" s="1" t="s">
        <v>86</v>
      </c>
      <c r="D161" s="17" t="s">
        <v>159</v>
      </c>
      <c r="E161" s="6" t="str">
        <f>HYPERLINK("https://www.bioscidb.com/browse/deal_bg/1073","Link")</f>
        <v>Link</v>
      </c>
      <c r="F161" s="1" t="s">
        <v>69</v>
      </c>
      <c r="G161" s="16" t="s">
        <v>30</v>
      </c>
      <c r="H161" s="4">
        <v>250</v>
      </c>
      <c r="I161" s="4">
        <v>250</v>
      </c>
      <c r="J161" s="4" t="s">
        <v>14</v>
      </c>
      <c r="K161" s="20"/>
      <c r="L161" s="5" t="s">
        <v>14</v>
      </c>
      <c r="M161" s="4" t="s">
        <v>14</v>
      </c>
      <c r="N161" s="4"/>
      <c r="O161" s="4" t="s">
        <v>14</v>
      </c>
      <c r="P161" s="4"/>
      <c r="Q161" s="4" t="s">
        <v>14</v>
      </c>
      <c r="R161" s="4"/>
      <c r="S161" s="4" t="s">
        <v>14</v>
      </c>
      <c r="T161" s="4"/>
      <c r="U161" s="8"/>
      <c r="V161" s="4"/>
      <c r="W161" s="1" t="s">
        <v>14</v>
      </c>
      <c r="X161" s="1" t="s">
        <v>88</v>
      </c>
      <c r="Y161" s="1" t="s">
        <v>55</v>
      </c>
      <c r="Z161" s="1" t="s">
        <v>89</v>
      </c>
      <c r="AA161" s="1" t="s">
        <v>87</v>
      </c>
    </row>
    <row r="162" spans="1:27" ht="12.75">
      <c r="A162" s="3" t="s">
        <v>68</v>
      </c>
      <c r="B162" s="1" t="s">
        <v>334</v>
      </c>
      <c r="C162" s="1" t="s">
        <v>242</v>
      </c>
      <c r="D162" s="1" t="s">
        <v>56</v>
      </c>
      <c r="E162" s="6" t="str">
        <f>HYPERLINK("https://www.bioscidb.com/browse/deal_bg/1014","Link")</f>
        <v>Link</v>
      </c>
      <c r="F162" s="1" t="s">
        <v>27</v>
      </c>
      <c r="G162" s="16" t="s">
        <v>82</v>
      </c>
      <c r="H162" s="4">
        <v>804.4</v>
      </c>
      <c r="I162" s="4">
        <v>550.5</v>
      </c>
      <c r="J162" s="4" t="s">
        <v>14</v>
      </c>
      <c r="K162" s="20">
        <f>I162/H162</f>
        <v>0.6843610144206862</v>
      </c>
      <c r="L162" s="5" t="s">
        <v>19</v>
      </c>
      <c r="M162" s="4" t="s">
        <v>14</v>
      </c>
      <c r="N162" s="4"/>
      <c r="O162" s="4" t="s">
        <v>14</v>
      </c>
      <c r="P162" s="4"/>
      <c r="Q162" s="4">
        <v>253.9</v>
      </c>
      <c r="R162" s="6" t="str">
        <f>HYPERLINK("https://www.bioscidb.com/tag/gettag/cd89566b-8ab5-49b3-802d-d18ae9061d89","Tag")</f>
        <v>Tag</v>
      </c>
      <c r="S162" s="4" t="s">
        <v>14</v>
      </c>
      <c r="T162" s="6" t="str">
        <f>HYPERLINK("https://www.bioscidb.com/tag/gettag/858c0345-f032-4b08-9bba-bacea9a99454","Tag")</f>
        <v>Tag</v>
      </c>
      <c r="U162" s="8">
        <v>2.5</v>
      </c>
      <c r="V162" s="6" t="str">
        <f>HYPERLINK("https://www.bioscidb.com/tag/gettag/8a55e013-c55f-427d-80b9-9703288b21ee","Tag")</f>
        <v>Tag</v>
      </c>
      <c r="W162" s="1" t="s">
        <v>14</v>
      </c>
      <c r="X162" s="1" t="s">
        <v>79</v>
      </c>
      <c r="Y162" s="1" t="s">
        <v>83</v>
      </c>
      <c r="Z162" s="1" t="s">
        <v>22</v>
      </c>
      <c r="AA162" s="1" t="s">
        <v>335</v>
      </c>
    </row>
    <row r="163" spans="1:27" ht="12.75">
      <c r="A163" s="3" t="s">
        <v>68</v>
      </c>
      <c r="B163" s="1" t="s">
        <v>144</v>
      </c>
      <c r="C163" s="1" t="s">
        <v>145</v>
      </c>
      <c r="D163" s="1" t="s">
        <v>43</v>
      </c>
      <c r="E163" s="6" t="str">
        <f>HYPERLINK("https://www.bioscidb.com/browse/deal_bg/2053","Link")</f>
        <v>Link</v>
      </c>
      <c r="F163" s="1" t="s">
        <v>69</v>
      </c>
      <c r="G163" s="16" t="s">
        <v>30</v>
      </c>
      <c r="H163" s="4">
        <v>209</v>
      </c>
      <c r="I163" s="4">
        <v>37</v>
      </c>
      <c r="J163" s="4" t="s">
        <v>14</v>
      </c>
      <c r="K163" s="20">
        <f>I163/H163</f>
        <v>0.17703349282296652</v>
      </c>
      <c r="L163" s="5" t="s">
        <v>14</v>
      </c>
      <c r="M163" s="4" t="s">
        <v>14</v>
      </c>
      <c r="N163" s="4"/>
      <c r="O163" s="4" t="s">
        <v>14</v>
      </c>
      <c r="P163" s="4"/>
      <c r="Q163" s="4" t="s">
        <v>14</v>
      </c>
      <c r="R163" s="4"/>
      <c r="S163" s="4" t="s">
        <v>14</v>
      </c>
      <c r="T163" s="4"/>
      <c r="U163" s="8"/>
      <c r="V163" s="4"/>
      <c r="W163" s="1" t="s">
        <v>14</v>
      </c>
      <c r="X163" s="1" t="s">
        <v>66</v>
      </c>
      <c r="Y163" s="1" t="s">
        <v>147</v>
      </c>
      <c r="Z163" s="1" t="s">
        <v>148</v>
      </c>
      <c r="AA163" s="1" t="s">
        <v>146</v>
      </c>
    </row>
    <row r="164" spans="1:27" ht="12.75">
      <c r="A164" s="3" t="s">
        <v>68</v>
      </c>
      <c r="B164" s="1" t="s">
        <v>231</v>
      </c>
      <c r="C164" s="1" t="s">
        <v>170</v>
      </c>
      <c r="D164" s="1" t="s">
        <v>56</v>
      </c>
      <c r="E164" s="6" t="str">
        <f>HYPERLINK("https://www.bioscidb.com/browse/deal_bg/7029","Link")</f>
        <v>Link</v>
      </c>
      <c r="F164" s="1" t="s">
        <v>27</v>
      </c>
      <c r="G164" s="16" t="s">
        <v>82</v>
      </c>
      <c r="H164" s="4">
        <v>206.3</v>
      </c>
      <c r="I164" s="4">
        <v>11.3</v>
      </c>
      <c r="J164" s="4" t="s">
        <v>14</v>
      </c>
      <c r="K164" s="20">
        <f>I164/H164</f>
        <v>0.054774600096946194</v>
      </c>
      <c r="L164" s="5" t="s">
        <v>19</v>
      </c>
      <c r="M164" s="4" t="s">
        <v>14</v>
      </c>
      <c r="N164" s="4"/>
      <c r="O164" s="4">
        <v>5</v>
      </c>
      <c r="P164" s="6" t="str">
        <f>HYPERLINK("https://www.bioscidb.com/tag/gettag/18057c58-1e35-47f2-a79e-4524ca3d446f","Tag")</f>
        <v>Tag</v>
      </c>
      <c r="Q164" s="4">
        <v>190</v>
      </c>
      <c r="R164" s="6" t="str">
        <f>HYPERLINK("https://www.bioscidb.com/tag/gettag/9c389085-7215-4ae8-b5fc-61c138e9df53","Tag")</f>
        <v>Tag</v>
      </c>
      <c r="S164" s="4" t="s">
        <v>14</v>
      </c>
      <c r="T164" s="6" t="str">
        <f>HYPERLINK("https://www.bioscidb.com/tag/gettag/2642a008-7b81-4613-8d41-4067cf5fc431","Tag")</f>
        <v>Tag</v>
      </c>
      <c r="U164" s="8">
        <v>20</v>
      </c>
      <c r="V164" s="6" t="str">
        <f>HYPERLINK("https://www.bioscidb.com/tag/gettag/2a131913-6700-4aac-8117-24985cc2e84d","Tag")</f>
        <v>Tag</v>
      </c>
      <c r="W164" s="1" t="s">
        <v>14</v>
      </c>
      <c r="X164" s="1" t="s">
        <v>14</v>
      </c>
      <c r="Y164" s="1" t="s">
        <v>55</v>
      </c>
      <c r="Z164" s="1" t="s">
        <v>14</v>
      </c>
      <c r="AA164" s="1" t="s">
        <v>232</v>
      </c>
    </row>
    <row r="165" spans="1:27" ht="12.75">
      <c r="A165" s="3" t="s">
        <v>68</v>
      </c>
      <c r="B165" s="1" t="s">
        <v>241</v>
      </c>
      <c r="C165" s="1" t="s">
        <v>242</v>
      </c>
      <c r="D165" s="1" t="s">
        <v>50</v>
      </c>
      <c r="E165" s="6" t="str">
        <f>HYPERLINK("https://www.bioscidb.com/browse/deal_bg/1015","Link")</f>
        <v>Link</v>
      </c>
      <c r="F165" s="1" t="s">
        <v>27</v>
      </c>
      <c r="G165" s="16" t="s">
        <v>82</v>
      </c>
      <c r="H165" s="4">
        <v>812.8</v>
      </c>
      <c r="I165" s="4">
        <v>704.4</v>
      </c>
      <c r="J165" s="4" t="s">
        <v>14</v>
      </c>
      <c r="K165" s="20">
        <f>I165/H165</f>
        <v>0.8666338582677166</v>
      </c>
      <c r="L165" s="5" t="s">
        <v>19</v>
      </c>
      <c r="M165" s="4" t="s">
        <v>14</v>
      </c>
      <c r="N165" s="4"/>
      <c r="O165" s="4" t="s">
        <v>14</v>
      </c>
      <c r="P165" s="4"/>
      <c r="Q165" s="4">
        <v>108.4</v>
      </c>
      <c r="R165" s="6" t="str">
        <f>HYPERLINK("https://www.bioscidb.com/tag/gettag/e1f36acf-ca48-4f0c-98e5-2835e41cb740","Tag")</f>
        <v>Tag</v>
      </c>
      <c r="S165" s="4" t="s">
        <v>14</v>
      </c>
      <c r="T165" s="6" t="str">
        <f>HYPERLINK("https://www.bioscidb.com/tag/gettag/95342e6a-a515-4fdf-977e-db4b0bdeb897","Tag")</f>
        <v>Tag</v>
      </c>
      <c r="U165" s="8">
        <v>3.5</v>
      </c>
      <c r="V165" s="6" t="str">
        <f>HYPERLINK("https://www.bioscidb.com/tag/gettag/d36a2b33-b7e3-4def-a423-081ac2bf399f","Tag")</f>
        <v>Tag</v>
      </c>
      <c r="W165" s="1" t="s">
        <v>14</v>
      </c>
      <c r="X165" s="1" t="s">
        <v>79</v>
      </c>
      <c r="Y165" s="1" t="s">
        <v>83</v>
      </c>
      <c r="Z165" s="1" t="s">
        <v>22</v>
      </c>
      <c r="AA165" s="1" t="s">
        <v>243</v>
      </c>
    </row>
    <row r="166" spans="1:27" ht="12.75">
      <c r="A166" s="3" t="s">
        <v>75</v>
      </c>
      <c r="B166" s="1" t="s">
        <v>76</v>
      </c>
      <c r="C166" s="1" t="s">
        <v>77</v>
      </c>
      <c r="D166" s="1" t="s">
        <v>43</v>
      </c>
      <c r="E166" s="6" t="str">
        <f>HYPERLINK("https://www.bioscidb.com/browse/deal_bg/1137","Link")</f>
        <v>Link</v>
      </c>
      <c r="F166" s="1" t="s">
        <v>69</v>
      </c>
      <c r="G166" s="16" t="s">
        <v>30</v>
      </c>
      <c r="H166" s="4">
        <v>1000</v>
      </c>
      <c r="I166" s="4">
        <v>650</v>
      </c>
      <c r="J166" s="4" t="s">
        <v>14</v>
      </c>
      <c r="K166" s="20">
        <f>I166/H166</f>
        <v>0.65</v>
      </c>
      <c r="L166" s="5" t="s">
        <v>14</v>
      </c>
      <c r="M166" s="4" t="s">
        <v>14</v>
      </c>
      <c r="N166" s="4"/>
      <c r="O166" s="4" t="s">
        <v>14</v>
      </c>
      <c r="P166" s="4"/>
      <c r="Q166" s="4" t="s">
        <v>14</v>
      </c>
      <c r="R166" s="4"/>
      <c r="S166" s="4" t="s">
        <v>14</v>
      </c>
      <c r="T166" s="4"/>
      <c r="U166" s="8"/>
      <c r="V166" s="4"/>
      <c r="W166" s="1" t="s">
        <v>14</v>
      </c>
      <c r="X166" s="1" t="s">
        <v>79</v>
      </c>
      <c r="Y166" s="1" t="s">
        <v>55</v>
      </c>
      <c r="Z166" s="1" t="s">
        <v>22</v>
      </c>
      <c r="AA166" s="1" t="s">
        <v>78</v>
      </c>
    </row>
    <row r="167" spans="1:27" ht="12.75">
      <c r="A167" s="3" t="s">
        <v>75</v>
      </c>
      <c r="B167" s="1" t="s">
        <v>117</v>
      </c>
      <c r="C167" s="1" t="s">
        <v>118</v>
      </c>
      <c r="D167" s="17" t="s">
        <v>50</v>
      </c>
      <c r="E167" s="6" t="str">
        <f>HYPERLINK("https://www.bioscidb.com/browse/deal_bg/1592","Link")</f>
        <v>Link</v>
      </c>
      <c r="F167" s="1" t="s">
        <v>69</v>
      </c>
      <c r="G167" s="16" t="s">
        <v>30</v>
      </c>
      <c r="H167" s="4">
        <v>1150</v>
      </c>
      <c r="I167" s="4">
        <v>560</v>
      </c>
      <c r="J167" s="4" t="s">
        <v>14</v>
      </c>
      <c r="K167" s="20">
        <f>I167/H167</f>
        <v>0.48695652173913045</v>
      </c>
      <c r="L167" s="5" t="s">
        <v>14</v>
      </c>
      <c r="M167" s="4">
        <v>450</v>
      </c>
      <c r="N167" s="4"/>
      <c r="O167" s="4" t="s">
        <v>14</v>
      </c>
      <c r="P167" s="4"/>
      <c r="Q167" s="4">
        <v>140</v>
      </c>
      <c r="R167" s="4"/>
      <c r="S167" s="4" t="s">
        <v>14</v>
      </c>
      <c r="T167" s="4"/>
      <c r="U167" s="8"/>
      <c r="V167" s="4"/>
      <c r="W167" s="1" t="s">
        <v>14</v>
      </c>
      <c r="X167" s="1" t="s">
        <v>79</v>
      </c>
      <c r="Y167" s="1" t="s">
        <v>61</v>
      </c>
      <c r="Z167" s="1" t="s">
        <v>89</v>
      </c>
      <c r="AA167" s="1" t="s">
        <v>14</v>
      </c>
    </row>
    <row r="168" spans="1:27" ht="12.75">
      <c r="A168" s="3" t="s">
        <v>75</v>
      </c>
      <c r="B168" s="1" t="s">
        <v>745</v>
      </c>
      <c r="C168" s="1" t="s">
        <v>268</v>
      </c>
      <c r="D168" s="17" t="s">
        <v>50</v>
      </c>
      <c r="E168" s="6" t="str">
        <f>HYPERLINK("https://www.bioscidb.com/browse/deal_bg/1041","Link")</f>
        <v>Link</v>
      </c>
      <c r="F168" s="1" t="s">
        <v>15</v>
      </c>
      <c r="G168" s="16" t="s">
        <v>746</v>
      </c>
      <c r="H168" s="4">
        <v>240</v>
      </c>
      <c r="I168" s="4">
        <v>100</v>
      </c>
      <c r="J168" s="4" t="s">
        <v>14</v>
      </c>
      <c r="K168" s="20">
        <f>I168/H168</f>
        <v>0.4166666666666667</v>
      </c>
      <c r="L168" s="5" t="s">
        <v>19</v>
      </c>
      <c r="M168" s="4">
        <v>90</v>
      </c>
      <c r="N168" s="6" t="str">
        <f>HYPERLINK("https://www.bioscidb.com/tag/gettag/24cc0ad1-274e-4728-8ded-94d19ab644bf","Tag")</f>
        <v>Tag</v>
      </c>
      <c r="O168" s="4" t="s">
        <v>14</v>
      </c>
      <c r="P168" s="4"/>
      <c r="Q168" s="4">
        <v>50</v>
      </c>
      <c r="R168" s="6" t="str">
        <f>HYPERLINK("https://www.bioscidb.com/tag/gettag/4cb4eb37-c219-46bd-a382-ad11ab2ace60","Tag")</f>
        <v>Tag</v>
      </c>
      <c r="S168" s="4" t="s">
        <v>14</v>
      </c>
      <c r="T168" s="6" t="str">
        <f>HYPERLINK("https://www.bioscidb.com/tag/gettag/fee9f42c-be82-48fa-9944-13293346380b","Tag")</f>
        <v>Tag</v>
      </c>
      <c r="U168" s="8">
        <v>4</v>
      </c>
      <c r="V168" s="6" t="str">
        <f>HYPERLINK("https://www.bioscidb.com/tag/gettag/e37e6568-4b7f-4c5f-920a-0df2f6ee705b","Tag")</f>
        <v>Tag</v>
      </c>
      <c r="W168" s="1" t="s">
        <v>14</v>
      </c>
      <c r="X168" s="1" t="s">
        <v>14</v>
      </c>
      <c r="Y168" s="1" t="s">
        <v>123</v>
      </c>
      <c r="Z168" s="1" t="s">
        <v>748</v>
      </c>
      <c r="AA168" s="1" t="s">
        <v>747</v>
      </c>
    </row>
    <row r="169" spans="1:27" ht="12.75">
      <c r="A169" s="3" t="s">
        <v>75</v>
      </c>
      <c r="B169" s="1" t="s">
        <v>80</v>
      </c>
      <c r="C169" s="1" t="s">
        <v>81</v>
      </c>
      <c r="D169" s="17" t="s">
        <v>43</v>
      </c>
      <c r="E169" s="6" t="str">
        <f>HYPERLINK("https://www.bioscidb.com/browse/deal_bg/1066","Link")</f>
        <v>Link</v>
      </c>
      <c r="F169" s="1" t="s">
        <v>69</v>
      </c>
      <c r="G169" s="16" t="s">
        <v>82</v>
      </c>
      <c r="H169" s="4">
        <v>14</v>
      </c>
      <c r="I169" s="4">
        <v>6.3</v>
      </c>
      <c r="J169" s="4" t="s">
        <v>14</v>
      </c>
      <c r="K169" s="20">
        <f>I169/H169</f>
        <v>0.45</v>
      </c>
      <c r="L169" s="5" t="s">
        <v>14</v>
      </c>
      <c r="M169" s="4" t="s">
        <v>14</v>
      </c>
      <c r="N169" s="4"/>
      <c r="O169" s="4" t="s">
        <v>14</v>
      </c>
      <c r="P169" s="4"/>
      <c r="Q169" s="4">
        <v>7.7</v>
      </c>
      <c r="R169" s="4"/>
      <c r="S169" s="4" t="s">
        <v>14</v>
      </c>
      <c r="T169" s="4"/>
      <c r="U169" s="8"/>
      <c r="V169" s="4"/>
      <c r="W169" s="1" t="s">
        <v>14</v>
      </c>
      <c r="X169" s="1" t="s">
        <v>14</v>
      </c>
      <c r="Y169" s="1" t="s">
        <v>83</v>
      </c>
      <c r="Z169" s="1" t="s">
        <v>84</v>
      </c>
      <c r="AA169" s="1" t="s">
        <v>14</v>
      </c>
    </row>
    <row r="170" spans="1:27" ht="12.75">
      <c r="A170" s="3" t="s">
        <v>208</v>
      </c>
      <c r="B170" s="1" t="s">
        <v>369</v>
      </c>
      <c r="C170" s="1" t="s">
        <v>114</v>
      </c>
      <c r="D170" s="1" t="s">
        <v>43</v>
      </c>
      <c r="E170" s="6" t="str">
        <f>HYPERLINK("https://www.bioscidb.com/browse/deal_bg/6970","Link")</f>
        <v>Link</v>
      </c>
      <c r="F170" s="1" t="s">
        <v>69</v>
      </c>
      <c r="G170" s="16" t="s">
        <v>30</v>
      </c>
      <c r="H170" s="4">
        <v>240</v>
      </c>
      <c r="I170" s="4">
        <v>35</v>
      </c>
      <c r="J170" s="4" t="s">
        <v>14</v>
      </c>
      <c r="K170" s="20">
        <f>I170/H170</f>
        <v>0.14583333333333334</v>
      </c>
      <c r="L170" s="5" t="s">
        <v>14</v>
      </c>
      <c r="M170" s="4" t="s">
        <v>14</v>
      </c>
      <c r="N170" s="4"/>
      <c r="O170" s="4" t="s">
        <v>14</v>
      </c>
      <c r="P170" s="4"/>
      <c r="Q170" s="4" t="s">
        <v>14</v>
      </c>
      <c r="R170" s="4"/>
      <c r="S170" s="4" t="s">
        <v>14</v>
      </c>
      <c r="T170" s="4"/>
      <c r="U170" s="8"/>
      <c r="V170" s="4"/>
      <c r="W170" s="1" t="s">
        <v>14</v>
      </c>
      <c r="X170" s="1" t="s">
        <v>79</v>
      </c>
      <c r="Y170" s="1" t="s">
        <v>83</v>
      </c>
      <c r="Z170" s="1" t="s">
        <v>259</v>
      </c>
      <c r="AA170" s="1" t="s">
        <v>370</v>
      </c>
    </row>
    <row r="171" spans="1:27" ht="12.75">
      <c r="A171" s="3" t="s">
        <v>208</v>
      </c>
      <c r="B171" s="1" t="s">
        <v>209</v>
      </c>
      <c r="C171" s="1" t="s">
        <v>118</v>
      </c>
      <c r="D171" s="1" t="s">
        <v>50</v>
      </c>
      <c r="E171" s="6" t="str">
        <f>HYPERLINK("https://www.bioscidb.com/browse/deal_bg/1376","Link")</f>
        <v>Link</v>
      </c>
      <c r="F171" s="1" t="s">
        <v>27</v>
      </c>
      <c r="G171" s="16" t="s">
        <v>30</v>
      </c>
      <c r="H171" s="4">
        <v>443</v>
      </c>
      <c r="I171" s="4">
        <v>323</v>
      </c>
      <c r="J171" s="4" t="s">
        <v>14</v>
      </c>
      <c r="K171" s="20">
        <f>I171/H171</f>
        <v>0.7291196388261851</v>
      </c>
      <c r="L171" s="5" t="s">
        <v>19</v>
      </c>
      <c r="M171" s="4" t="s">
        <v>14</v>
      </c>
      <c r="N171" s="4"/>
      <c r="O171" s="4">
        <v>120</v>
      </c>
      <c r="P171" s="6" t="str">
        <f>HYPERLINK("https://www.bioscidb.com/tag/gettag/fee36864-0bff-472f-b96d-1620661d4715","Tag")</f>
        <v>Tag</v>
      </c>
      <c r="Q171" s="4" t="s">
        <v>14</v>
      </c>
      <c r="R171" s="6" t="str">
        <f>HYPERLINK("https://www.bioscidb.com/tag/gettag/941f823d-3b22-4844-b35e-4113d9bf0c8d","Tag")</f>
        <v>Tag</v>
      </c>
      <c r="S171" s="4" t="s">
        <v>14</v>
      </c>
      <c r="T171" s="6" t="str">
        <f>HYPERLINK("https://www.bioscidb.com/tag/gettag/33493291-947f-4f62-a972-2e9a0db51d99","Tag")</f>
        <v>Tag</v>
      </c>
      <c r="U171" s="8">
        <v>7.5</v>
      </c>
      <c r="V171" s="6" t="str">
        <f>HYPERLINK("https://www.bioscidb.com/tag/gettag/8569fd2c-aa01-4540-9b26-44014c2d7fc7","Tag")</f>
        <v>Tag</v>
      </c>
      <c r="W171" s="1" t="s">
        <v>211</v>
      </c>
      <c r="X171" s="1" t="s">
        <v>79</v>
      </c>
      <c r="Y171" s="1" t="s">
        <v>21</v>
      </c>
      <c r="Z171" s="1" t="s">
        <v>14</v>
      </c>
      <c r="AA171" s="1" t="s">
        <v>210</v>
      </c>
    </row>
    <row r="172" spans="1:27" ht="12.75">
      <c r="A172" s="3" t="s">
        <v>177</v>
      </c>
      <c r="B172" s="1" t="s">
        <v>323</v>
      </c>
      <c r="C172" s="1" t="s">
        <v>324</v>
      </c>
      <c r="D172" s="1" t="s">
        <v>56</v>
      </c>
      <c r="E172" s="6" t="str">
        <f>HYPERLINK("https://www.bioscidb.com/browse/deal_bg/6881","Link")</f>
        <v>Link</v>
      </c>
      <c r="F172" s="1" t="s">
        <v>27</v>
      </c>
      <c r="G172" s="16" t="s">
        <v>30</v>
      </c>
      <c r="H172" s="4">
        <v>635</v>
      </c>
      <c r="I172" s="4">
        <v>585</v>
      </c>
      <c r="J172" s="4" t="s">
        <v>14</v>
      </c>
      <c r="K172" s="20">
        <f>I172/H172</f>
        <v>0.9212598425196851</v>
      </c>
      <c r="L172" s="5" t="s">
        <v>19</v>
      </c>
      <c r="M172" s="4" t="s">
        <v>14</v>
      </c>
      <c r="N172" s="4"/>
      <c r="O172" s="4" t="s">
        <v>14</v>
      </c>
      <c r="P172" s="4"/>
      <c r="Q172" s="4">
        <v>50</v>
      </c>
      <c r="R172" s="6" t="str">
        <f>HYPERLINK("https://www.bioscidb.com/tag/gettag/34de1188-9f4e-4ce0-a814-38447ea417ef","Tag")</f>
        <v>Tag</v>
      </c>
      <c r="S172" s="4" t="s">
        <v>14</v>
      </c>
      <c r="T172" s="6" t="str">
        <f>HYPERLINK("https://www.bioscidb.com/tag/gettag/eb41dab4-a1e4-4a73-b609-e5d240e2d115","Tag")</f>
        <v>Tag</v>
      </c>
      <c r="U172" s="8">
        <v>2</v>
      </c>
      <c r="V172" s="6" t="str">
        <f>HYPERLINK("https://www.bioscidb.com/tag/gettag/cd528838-ce3c-46de-859d-001280aff82b","Tag")</f>
        <v>Tag</v>
      </c>
      <c r="W172" s="1" t="s">
        <v>14</v>
      </c>
      <c r="X172" s="1" t="s">
        <v>14</v>
      </c>
      <c r="Y172" s="1" t="s">
        <v>325</v>
      </c>
      <c r="Z172" s="1" t="s">
        <v>89</v>
      </c>
      <c r="AA172" s="1" t="s">
        <v>14</v>
      </c>
    </row>
    <row r="173" spans="1:27" ht="12.75">
      <c r="A173" s="3" t="s">
        <v>429</v>
      </c>
      <c r="B173" s="1" t="s">
        <v>430</v>
      </c>
      <c r="C173" s="1" t="s">
        <v>421</v>
      </c>
      <c r="D173" s="1" t="s">
        <v>50</v>
      </c>
      <c r="E173" s="6" t="str">
        <f>HYPERLINK("https://www.bioscidb.com/browse/deal_bg/5109","Link")</f>
        <v>Link</v>
      </c>
      <c r="F173" s="1" t="s">
        <v>69</v>
      </c>
      <c r="G173" s="16" t="s">
        <v>431</v>
      </c>
      <c r="H173" s="4">
        <v>160</v>
      </c>
      <c r="I173" s="4">
        <v>160</v>
      </c>
      <c r="J173" s="4" t="s">
        <v>14</v>
      </c>
      <c r="K173" s="20"/>
      <c r="L173" s="5" t="s">
        <v>14</v>
      </c>
      <c r="M173" s="4" t="s">
        <v>14</v>
      </c>
      <c r="N173" s="4"/>
      <c r="O173" s="4" t="s">
        <v>14</v>
      </c>
      <c r="P173" s="4"/>
      <c r="Q173" s="4" t="s">
        <v>14</v>
      </c>
      <c r="R173" s="4"/>
      <c r="S173" s="4" t="s">
        <v>14</v>
      </c>
      <c r="T173" s="4"/>
      <c r="U173" s="8"/>
      <c r="V173" s="4"/>
      <c r="W173" s="1" t="s">
        <v>14</v>
      </c>
      <c r="X173" s="1" t="s">
        <v>88</v>
      </c>
      <c r="Y173" s="1" t="s">
        <v>156</v>
      </c>
      <c r="Z173" s="1" t="s">
        <v>22</v>
      </c>
      <c r="AA173" s="1" t="s">
        <v>432</v>
      </c>
    </row>
    <row r="174" spans="1:27" ht="12.75">
      <c r="A174" s="3" t="s">
        <v>351</v>
      </c>
      <c r="B174" s="1" t="s">
        <v>806</v>
      </c>
      <c r="C174" s="1" t="s">
        <v>764</v>
      </c>
      <c r="D174" s="1" t="s">
        <v>56</v>
      </c>
      <c r="E174" s="6" t="str">
        <f>HYPERLINK("https://www.bioscidb.com/browse/deal_bg/6842","Link")</f>
        <v>Link</v>
      </c>
      <c r="F174" s="1" t="s">
        <v>15</v>
      </c>
      <c r="G174" s="16" t="s">
        <v>807</v>
      </c>
      <c r="H174" s="4">
        <v>1850</v>
      </c>
      <c r="I174" s="4">
        <v>1600</v>
      </c>
      <c r="J174" s="4" t="s">
        <v>14</v>
      </c>
      <c r="K174" s="20">
        <f>I174/H174</f>
        <v>0.8648648648648649</v>
      </c>
      <c r="L174" s="5" t="s">
        <v>19</v>
      </c>
      <c r="M174" s="4" t="s">
        <v>14</v>
      </c>
      <c r="N174" s="4"/>
      <c r="O174" s="4" t="s">
        <v>14</v>
      </c>
      <c r="P174" s="4"/>
      <c r="Q174" s="4">
        <v>250</v>
      </c>
      <c r="R174" s="6" t="str">
        <f>HYPERLINK("https://www.bioscidb.com/tag/gettag/d3196536-652d-418d-b8c2-ee26353f5af2","Tag")</f>
        <v>Tag</v>
      </c>
      <c r="S174" s="4" t="s">
        <v>14</v>
      </c>
      <c r="T174" s="4"/>
      <c r="U174" s="8"/>
      <c r="V174" s="4"/>
      <c r="W174" s="1" t="s">
        <v>14</v>
      </c>
      <c r="X174" s="1" t="s">
        <v>14</v>
      </c>
      <c r="Y174" s="1" t="s">
        <v>83</v>
      </c>
      <c r="Z174" s="1" t="s">
        <v>178</v>
      </c>
      <c r="AA174" s="1" t="s">
        <v>14</v>
      </c>
    </row>
    <row r="175" spans="1:27" ht="12.75">
      <c r="A175" s="3" t="s">
        <v>351</v>
      </c>
      <c r="B175" s="1" t="s">
        <v>352</v>
      </c>
      <c r="C175" s="1" t="s">
        <v>353</v>
      </c>
      <c r="D175" s="1" t="s">
        <v>280</v>
      </c>
      <c r="E175" s="6" t="str">
        <f>HYPERLINK("https://www.bioscidb.com/browse/deal_bg/4038","Link")</f>
        <v>Link</v>
      </c>
      <c r="F175" s="1" t="s">
        <v>45</v>
      </c>
      <c r="G175" s="16" t="s">
        <v>30</v>
      </c>
      <c r="H175" s="4">
        <v>450</v>
      </c>
      <c r="I175" s="4">
        <v>350</v>
      </c>
      <c r="J175" s="4" t="s">
        <v>14</v>
      </c>
      <c r="K175" s="20">
        <f>I175/H175</f>
        <v>0.7777777777777778</v>
      </c>
      <c r="L175" s="5" t="s">
        <v>14</v>
      </c>
      <c r="M175" s="4" t="s">
        <v>14</v>
      </c>
      <c r="N175" s="4"/>
      <c r="O175" s="4" t="s">
        <v>14</v>
      </c>
      <c r="P175" s="4"/>
      <c r="Q175" s="4" t="s">
        <v>14</v>
      </c>
      <c r="R175" s="4"/>
      <c r="S175" s="4" t="s">
        <v>14</v>
      </c>
      <c r="T175" s="4"/>
      <c r="U175" s="8"/>
      <c r="V175" s="4"/>
      <c r="W175" s="1" t="s">
        <v>14</v>
      </c>
      <c r="X175" s="1" t="s">
        <v>23</v>
      </c>
      <c r="Y175" s="1" t="s">
        <v>355</v>
      </c>
      <c r="Z175" s="1" t="s">
        <v>286</v>
      </c>
      <c r="AA175" s="1" t="s">
        <v>354</v>
      </c>
    </row>
    <row r="176" spans="1:27" ht="12.75">
      <c r="A176" s="3" t="s">
        <v>224</v>
      </c>
      <c r="B176" s="1" t="s">
        <v>347</v>
      </c>
      <c r="C176" s="1" t="s">
        <v>348</v>
      </c>
      <c r="D176" s="1" t="s">
        <v>33</v>
      </c>
      <c r="E176" s="6" t="str">
        <f>HYPERLINK("https://www.bioscidb.com/browse/deal_bg/6836","Link")</f>
        <v>Link</v>
      </c>
      <c r="F176" s="1" t="s">
        <v>45</v>
      </c>
      <c r="G176" s="16" t="s">
        <v>349</v>
      </c>
      <c r="H176" s="4">
        <v>92</v>
      </c>
      <c r="I176" s="4">
        <v>46</v>
      </c>
      <c r="J176" s="4" t="s">
        <v>14</v>
      </c>
      <c r="K176" s="20">
        <f>I176/H176</f>
        <v>0.5</v>
      </c>
      <c r="L176" s="5" t="s">
        <v>14</v>
      </c>
      <c r="M176" s="4" t="s">
        <v>14</v>
      </c>
      <c r="N176" s="4"/>
      <c r="O176" s="4" t="s">
        <v>14</v>
      </c>
      <c r="P176" s="4"/>
      <c r="Q176" s="4">
        <v>46</v>
      </c>
      <c r="R176" s="4"/>
      <c r="S176" s="4" t="s">
        <v>14</v>
      </c>
      <c r="T176" s="4"/>
      <c r="U176" s="8"/>
      <c r="V176" s="4"/>
      <c r="W176" s="1" t="s">
        <v>14</v>
      </c>
      <c r="X176" s="1" t="s">
        <v>66</v>
      </c>
      <c r="Y176" s="1" t="s">
        <v>14</v>
      </c>
      <c r="Z176" s="1" t="s">
        <v>14</v>
      </c>
      <c r="AA176" s="1" t="s">
        <v>350</v>
      </c>
    </row>
    <row r="177" spans="1:27" ht="12.75">
      <c r="A177" s="3" t="s">
        <v>224</v>
      </c>
      <c r="B177" s="1" t="s">
        <v>671</v>
      </c>
      <c r="C177" s="1" t="s">
        <v>588</v>
      </c>
      <c r="D177" s="1" t="s">
        <v>50</v>
      </c>
      <c r="E177" s="6" t="str">
        <f>HYPERLINK("https://www.bioscidb.com/browse/deal_bg/6834","Link")</f>
        <v>Link</v>
      </c>
      <c r="F177" s="1" t="s">
        <v>15</v>
      </c>
      <c r="G177" s="16" t="s">
        <v>672</v>
      </c>
      <c r="H177" s="4">
        <v>290</v>
      </c>
      <c r="I177" s="4" t="s">
        <v>14</v>
      </c>
      <c r="J177" s="4">
        <v>100</v>
      </c>
      <c r="K177" s="20">
        <f>J177/H177</f>
        <v>0.3448275862068966</v>
      </c>
      <c r="L177" s="5" t="s">
        <v>19</v>
      </c>
      <c r="M177" s="4">
        <v>65</v>
      </c>
      <c r="N177" s="6" t="str">
        <f>HYPERLINK("https://www.bioscidb.com/tag/gettag/bd8e9090-cd8d-4560-8851-8f286686b292","Tag")</f>
        <v>Tag</v>
      </c>
      <c r="O177" s="4" t="s">
        <v>14</v>
      </c>
      <c r="P177" s="4"/>
      <c r="Q177" s="4">
        <v>125</v>
      </c>
      <c r="R177" s="6" t="str">
        <f>HYPERLINK("https://www.bioscidb.com/tag/gettag/45623154-c4c7-48c0-9e8d-d3bd9b54d780","Tag")</f>
        <v>Tag</v>
      </c>
      <c r="S177" s="4" t="s">
        <v>14</v>
      </c>
      <c r="T177" s="6" t="str">
        <f>HYPERLINK("https://www.bioscidb.com/tag/gettag/a6092093-5963-4f61-8381-602cbcb3ddf5","Tag")</f>
        <v>Tag</v>
      </c>
      <c r="U177" s="8">
        <v>12</v>
      </c>
      <c r="V177" s="6" t="str">
        <f>HYPERLINK("https://www.bioscidb.com/tag/gettag/db9119b1-f5ea-4da0-b447-76bffccd037f","Tag")</f>
        <v>Tag</v>
      </c>
      <c r="W177" s="1" t="s">
        <v>14</v>
      </c>
      <c r="X177" s="1" t="s">
        <v>14</v>
      </c>
      <c r="Y177" s="1" t="s">
        <v>49</v>
      </c>
      <c r="Z177" s="1" t="s">
        <v>14</v>
      </c>
      <c r="AA177" s="1" t="s">
        <v>14</v>
      </c>
    </row>
    <row r="178" spans="1:27" ht="12.75">
      <c r="A178" s="3" t="s">
        <v>224</v>
      </c>
      <c r="B178" s="1" t="s">
        <v>225</v>
      </c>
      <c r="C178" s="1" t="s">
        <v>226</v>
      </c>
      <c r="D178" s="1" t="s">
        <v>43</v>
      </c>
      <c r="E178" s="6" t="str">
        <f>HYPERLINK("https://www.bioscidb.com/browse/deal_bg/6835","Link")</f>
        <v>Link</v>
      </c>
      <c r="F178" s="1" t="s">
        <v>45</v>
      </c>
      <c r="G178" s="16" t="s">
        <v>206</v>
      </c>
      <c r="H178" s="4">
        <v>105.9</v>
      </c>
      <c r="I178" s="4">
        <v>12.9</v>
      </c>
      <c r="J178" s="4" t="s">
        <v>14</v>
      </c>
      <c r="K178" s="20">
        <f>I178/H178</f>
        <v>0.12181303116147309</v>
      </c>
      <c r="L178" s="5" t="s">
        <v>14</v>
      </c>
      <c r="M178" s="4">
        <v>23</v>
      </c>
      <c r="N178" s="4"/>
      <c r="O178" s="4" t="s">
        <v>14</v>
      </c>
      <c r="P178" s="4"/>
      <c r="Q178" s="4">
        <v>70</v>
      </c>
      <c r="R178" s="4"/>
      <c r="S178" s="4" t="s">
        <v>14</v>
      </c>
      <c r="T178" s="4"/>
      <c r="U178" s="8"/>
      <c r="V178" s="4"/>
      <c r="W178" s="1" t="s">
        <v>14</v>
      </c>
      <c r="X178" s="1" t="s">
        <v>14</v>
      </c>
      <c r="Y178" s="1" t="s">
        <v>55</v>
      </c>
      <c r="Z178" s="1" t="s">
        <v>22</v>
      </c>
      <c r="AA178" s="1" t="s">
        <v>227</v>
      </c>
    </row>
    <row r="179" spans="1:27" ht="12.75">
      <c r="A179" s="3" t="s">
        <v>224</v>
      </c>
      <c r="B179" s="1" t="s">
        <v>537</v>
      </c>
      <c r="C179" s="1" t="s">
        <v>297</v>
      </c>
      <c r="D179" s="1" t="s">
        <v>159</v>
      </c>
      <c r="E179" s="6" t="str">
        <f>HYPERLINK("https://www.bioscidb.com/browse/deal_bg/8906","Link")</f>
        <v>Link</v>
      </c>
      <c r="F179" s="1" t="s">
        <v>69</v>
      </c>
      <c r="G179" s="16" t="s">
        <v>30</v>
      </c>
      <c r="H179" s="4">
        <v>305</v>
      </c>
      <c r="I179" s="4">
        <v>150</v>
      </c>
      <c r="J179" s="4" t="s">
        <v>14</v>
      </c>
      <c r="K179" s="20">
        <f>I179/H179</f>
        <v>0.4918032786885246</v>
      </c>
      <c r="L179" s="5" t="s">
        <v>14</v>
      </c>
      <c r="M179" s="4" t="s">
        <v>14</v>
      </c>
      <c r="N179" s="4"/>
      <c r="O179" s="4" t="s">
        <v>14</v>
      </c>
      <c r="P179" s="4"/>
      <c r="Q179" s="4" t="s">
        <v>14</v>
      </c>
      <c r="R179" s="4"/>
      <c r="S179" s="4" t="s">
        <v>14</v>
      </c>
      <c r="T179" s="4"/>
      <c r="U179" s="8"/>
      <c r="V179" s="4"/>
      <c r="W179" s="1" t="s">
        <v>14</v>
      </c>
      <c r="X179" s="1" t="s">
        <v>66</v>
      </c>
      <c r="Y179" s="1" t="s">
        <v>378</v>
      </c>
      <c r="Z179" s="1" t="s">
        <v>539</v>
      </c>
      <c r="AA179" s="1" t="s">
        <v>538</v>
      </c>
    </row>
    <row r="180" spans="1:27" ht="12.75">
      <c r="A180" s="3" t="s">
        <v>224</v>
      </c>
      <c r="B180" s="1" t="s">
        <v>367</v>
      </c>
      <c r="C180" s="1" t="s">
        <v>247</v>
      </c>
      <c r="D180" s="17" t="s">
        <v>986</v>
      </c>
      <c r="E180" s="6" t="str">
        <f>HYPERLINK("https://www.bioscidb.com/browse/deal_bg/4669","Link")</f>
        <v>Link</v>
      </c>
      <c r="F180" s="1" t="s">
        <v>69</v>
      </c>
      <c r="G180" s="16" t="s">
        <v>30</v>
      </c>
      <c r="H180" s="4">
        <v>144</v>
      </c>
      <c r="I180" s="4">
        <v>10</v>
      </c>
      <c r="J180" s="4" t="s">
        <v>14</v>
      </c>
      <c r="K180" s="20">
        <f>I180/H180</f>
        <v>0.06944444444444445</v>
      </c>
      <c r="L180" s="5" t="s">
        <v>14</v>
      </c>
      <c r="M180" s="4" t="s">
        <v>14</v>
      </c>
      <c r="N180" s="4"/>
      <c r="O180" s="4" t="s">
        <v>14</v>
      </c>
      <c r="P180" s="4"/>
      <c r="Q180" s="4" t="s">
        <v>14</v>
      </c>
      <c r="R180" s="4"/>
      <c r="S180" s="4" t="s">
        <v>14</v>
      </c>
      <c r="T180" s="4"/>
      <c r="U180" s="8"/>
      <c r="V180" s="4"/>
      <c r="W180" s="1" t="s">
        <v>14</v>
      </c>
      <c r="X180" s="1" t="s">
        <v>23</v>
      </c>
      <c r="Y180" s="1" t="s">
        <v>49</v>
      </c>
      <c r="Z180" s="1" t="s">
        <v>22</v>
      </c>
      <c r="AA180" s="1" t="s">
        <v>368</v>
      </c>
    </row>
    <row r="181" spans="1:27" ht="12.75">
      <c r="A181" s="3"/>
      <c r="B181" s="1"/>
      <c r="C181" s="1"/>
      <c r="D181" s="17"/>
      <c r="E181" s="6"/>
      <c r="F181" s="1"/>
      <c r="G181" s="16"/>
      <c r="H181" s="4"/>
      <c r="I181" s="4"/>
      <c r="J181" s="4"/>
      <c r="K181" s="20"/>
      <c r="L181" s="5"/>
      <c r="M181" s="4"/>
      <c r="N181" s="4"/>
      <c r="O181" s="4"/>
      <c r="P181" s="4"/>
      <c r="Q181" s="4"/>
      <c r="R181" s="4"/>
      <c r="S181" s="4"/>
      <c r="T181" s="4"/>
      <c r="U181" s="8"/>
      <c r="V181" s="4"/>
      <c r="W181" s="1"/>
      <c r="X181" s="1"/>
      <c r="Y181" s="1"/>
      <c r="Z181" s="1"/>
      <c r="AA181" s="1"/>
    </row>
    <row r="182" spans="1:27" ht="12.75">
      <c r="A182" s="3"/>
      <c r="B182" s="1"/>
      <c r="C182" s="1"/>
      <c r="D182" s="17"/>
      <c r="E182" s="6"/>
      <c r="F182" s="1"/>
      <c r="G182" s="16"/>
      <c r="H182" s="4"/>
      <c r="I182" s="4"/>
      <c r="J182" s="4"/>
      <c r="K182" s="20"/>
      <c r="L182" s="5"/>
      <c r="M182" s="4"/>
      <c r="N182" s="4"/>
      <c r="O182" s="4"/>
      <c r="P182" s="4"/>
      <c r="Q182" s="4"/>
      <c r="R182" s="4"/>
      <c r="S182" s="4"/>
      <c r="T182" s="25" t="s">
        <v>1035</v>
      </c>
      <c r="U182" s="8">
        <f>AVERAGE(U123:U180)</f>
        <v>5.7</v>
      </c>
      <c r="V182" s="4"/>
      <c r="W182" s="1"/>
      <c r="X182" s="1"/>
      <c r="Y182" s="1"/>
      <c r="Z182" s="1"/>
      <c r="AA182" s="1"/>
    </row>
    <row r="183" spans="1:27" ht="12.75">
      <c r="A183" s="3"/>
      <c r="B183" s="1"/>
      <c r="C183" s="1"/>
      <c r="D183" s="17"/>
      <c r="E183" s="6"/>
      <c r="F183" s="1"/>
      <c r="G183" s="16"/>
      <c r="H183" s="4"/>
      <c r="I183" s="4"/>
      <c r="J183" s="4"/>
      <c r="K183" s="20"/>
      <c r="L183" s="5"/>
      <c r="M183" s="4"/>
      <c r="N183" s="4"/>
      <c r="O183" s="4"/>
      <c r="P183" s="4"/>
      <c r="Q183" s="4"/>
      <c r="R183" s="4"/>
      <c r="S183" s="4"/>
      <c r="T183" s="25" t="s">
        <v>1036</v>
      </c>
      <c r="U183" s="8">
        <f>MEDIAN(U123:U180)</f>
        <v>3.5</v>
      </c>
      <c r="V183" s="4"/>
      <c r="W183" s="1"/>
      <c r="X183" s="1"/>
      <c r="Y183" s="1"/>
      <c r="Z183" s="1"/>
      <c r="AA183" s="1"/>
    </row>
    <row r="184" spans="1:27" ht="12.75">
      <c r="A184" s="3"/>
      <c r="B184" s="1"/>
      <c r="C184" s="1"/>
      <c r="D184" s="17"/>
      <c r="E184" s="6"/>
      <c r="F184" s="1"/>
      <c r="G184" s="16"/>
      <c r="H184" s="4"/>
      <c r="I184" s="4"/>
      <c r="J184" s="4"/>
      <c r="K184" s="20"/>
      <c r="L184" s="5"/>
      <c r="M184" s="4"/>
      <c r="N184" s="4"/>
      <c r="O184" s="4"/>
      <c r="P184" s="4"/>
      <c r="Q184" s="4"/>
      <c r="R184" s="4"/>
      <c r="S184" s="4"/>
      <c r="T184" s="4"/>
      <c r="U184" s="8"/>
      <c r="V184" s="4"/>
      <c r="W184" s="1"/>
      <c r="X184" s="1"/>
      <c r="Y184" s="1"/>
      <c r="Z184" s="1"/>
      <c r="AA184" s="1"/>
    </row>
    <row r="185" spans="1:27" ht="12.75">
      <c r="A185" s="3" t="s">
        <v>287</v>
      </c>
      <c r="B185" s="1" t="s">
        <v>288</v>
      </c>
      <c r="C185" s="1" t="s">
        <v>268</v>
      </c>
      <c r="D185" s="17" t="s">
        <v>50</v>
      </c>
      <c r="E185" s="6" t="str">
        <f>HYPERLINK("https://www.bioscidb.com/browse/deal_bg/1593","Link")</f>
        <v>Link</v>
      </c>
      <c r="F185" s="1" t="s">
        <v>45</v>
      </c>
      <c r="G185" s="16" t="s">
        <v>30</v>
      </c>
      <c r="H185" s="4">
        <v>381</v>
      </c>
      <c r="I185" s="4">
        <v>185</v>
      </c>
      <c r="J185" s="4" t="s">
        <v>14</v>
      </c>
      <c r="K185" s="20">
        <f>I185/H185</f>
        <v>0.48556430446194226</v>
      </c>
      <c r="L185" s="5" t="s">
        <v>14</v>
      </c>
      <c r="M185" s="4">
        <v>131</v>
      </c>
      <c r="N185" s="4"/>
      <c r="O185" s="4">
        <v>5</v>
      </c>
      <c r="P185" s="4"/>
      <c r="Q185" s="4">
        <v>60</v>
      </c>
      <c r="R185" s="4"/>
      <c r="S185" s="4" t="s">
        <v>14</v>
      </c>
      <c r="T185" s="4"/>
      <c r="U185" s="8"/>
      <c r="V185" s="4"/>
      <c r="W185" s="1" t="s">
        <v>14</v>
      </c>
      <c r="X185" s="1" t="s">
        <v>14</v>
      </c>
      <c r="Y185" s="1" t="s">
        <v>139</v>
      </c>
      <c r="Z185" s="1" t="s">
        <v>32</v>
      </c>
      <c r="AA185" s="1" t="s">
        <v>289</v>
      </c>
    </row>
    <row r="186" spans="1:27" ht="12.75">
      <c r="A186" s="3" t="s">
        <v>196</v>
      </c>
      <c r="B186" s="1" t="s">
        <v>197</v>
      </c>
      <c r="C186" s="1" t="s">
        <v>198</v>
      </c>
      <c r="D186" s="1" t="s">
        <v>131</v>
      </c>
      <c r="E186" s="6" t="str">
        <f>HYPERLINK("https://www.bioscidb.com/browse/deal_bg/6622","Link")</f>
        <v>Link</v>
      </c>
      <c r="F186" s="1" t="s">
        <v>27</v>
      </c>
      <c r="G186" s="16" t="s">
        <v>100</v>
      </c>
      <c r="H186" s="4">
        <v>380</v>
      </c>
      <c r="I186" s="4">
        <v>190</v>
      </c>
      <c r="J186" s="4" t="s">
        <v>14</v>
      </c>
      <c r="K186" s="20">
        <f>I186/H186</f>
        <v>0.5</v>
      </c>
      <c r="L186" s="5" t="s">
        <v>19</v>
      </c>
      <c r="M186" s="4">
        <v>102.6</v>
      </c>
      <c r="N186" s="4"/>
      <c r="O186" s="4" t="s">
        <v>14</v>
      </c>
      <c r="P186" s="4"/>
      <c r="Q186" s="4">
        <v>87.4</v>
      </c>
      <c r="R186" s="4"/>
      <c r="S186" s="4" t="s">
        <v>14</v>
      </c>
      <c r="T186" s="4"/>
      <c r="U186" s="8"/>
      <c r="V186" s="4"/>
      <c r="W186" s="1" t="s">
        <v>14</v>
      </c>
      <c r="X186" s="1" t="s">
        <v>14</v>
      </c>
      <c r="Y186" s="1" t="s">
        <v>189</v>
      </c>
      <c r="Z186" s="1" t="s">
        <v>131</v>
      </c>
      <c r="AA186" s="1" t="s">
        <v>199</v>
      </c>
    </row>
    <row r="187" spans="1:27" ht="12.75">
      <c r="A187" s="3" t="s">
        <v>196</v>
      </c>
      <c r="B187" s="1" t="s">
        <v>236</v>
      </c>
      <c r="C187" s="1" t="s">
        <v>132</v>
      </c>
      <c r="D187" s="1" t="s">
        <v>56</v>
      </c>
      <c r="E187" s="6" t="str">
        <f>HYPERLINK("https://www.bioscidb.com/browse/deal_bg/5815","Link")</f>
        <v>Link</v>
      </c>
      <c r="F187" s="1" t="s">
        <v>27</v>
      </c>
      <c r="G187" s="16" t="s">
        <v>30</v>
      </c>
      <c r="H187" s="4">
        <v>375</v>
      </c>
      <c r="I187" s="4">
        <v>350</v>
      </c>
      <c r="J187" s="4" t="s">
        <v>14</v>
      </c>
      <c r="K187" s="20">
        <f>I187/H187</f>
        <v>0.9333333333333333</v>
      </c>
      <c r="L187" s="5" t="s">
        <v>19</v>
      </c>
      <c r="M187" s="4" t="s">
        <v>14</v>
      </c>
      <c r="N187" s="4"/>
      <c r="O187" s="4" t="s">
        <v>14</v>
      </c>
      <c r="P187" s="4"/>
      <c r="Q187" s="4">
        <v>25</v>
      </c>
      <c r="R187" s="6" t="str">
        <f>HYPERLINK("https://www.bioscidb.com/tag/gettag/84b13a84-8249-407e-8381-ac5aff9e544e","Tag")</f>
        <v>Tag</v>
      </c>
      <c r="S187" s="4" t="s">
        <v>14</v>
      </c>
      <c r="T187" s="4"/>
      <c r="U187" s="8">
        <v>5</v>
      </c>
      <c r="V187" s="6" t="str">
        <f>HYPERLINK("https://www.bioscidb.com/tag/gettag/66fd9717-8fb6-4c0a-abba-bc2d8ac078a4","Tag")</f>
        <v>Tag</v>
      </c>
      <c r="W187" s="1" t="s">
        <v>14</v>
      </c>
      <c r="X187" s="1" t="s">
        <v>66</v>
      </c>
      <c r="Y187" s="1" t="s">
        <v>237</v>
      </c>
      <c r="Z187" s="1" t="s">
        <v>14</v>
      </c>
      <c r="AA187" s="1" t="s">
        <v>14</v>
      </c>
    </row>
    <row r="188" spans="1:27" ht="12.75">
      <c r="A188" s="3" t="s">
        <v>172</v>
      </c>
      <c r="B188" s="1" t="s">
        <v>173</v>
      </c>
      <c r="C188" s="1" t="s">
        <v>174</v>
      </c>
      <c r="D188" s="1" t="s">
        <v>56</v>
      </c>
      <c r="E188" s="6" t="str">
        <f>HYPERLINK("https://www.bioscidb.com/browse/deal_bg/4863","Link")</f>
        <v>Link</v>
      </c>
      <c r="F188" s="1" t="s">
        <v>27</v>
      </c>
      <c r="G188" s="16" t="s">
        <v>175</v>
      </c>
      <c r="H188" s="4">
        <v>29.8</v>
      </c>
      <c r="I188" s="4" t="s">
        <v>14</v>
      </c>
      <c r="J188" s="4">
        <v>29.8</v>
      </c>
      <c r="K188" s="20"/>
      <c r="L188" s="5" t="s">
        <v>14</v>
      </c>
      <c r="M188" s="4" t="s">
        <v>14</v>
      </c>
      <c r="N188" s="4"/>
      <c r="O188" s="4" t="s">
        <v>14</v>
      </c>
      <c r="P188" s="4"/>
      <c r="Q188" s="4" t="s">
        <v>14</v>
      </c>
      <c r="R188" s="4"/>
      <c r="S188" s="4" t="s">
        <v>14</v>
      </c>
      <c r="T188" s="4"/>
      <c r="U188" s="8"/>
      <c r="V188" s="4"/>
      <c r="W188" s="1" t="s">
        <v>14</v>
      </c>
      <c r="X188" s="1" t="s">
        <v>14</v>
      </c>
      <c r="Y188" s="1" t="s">
        <v>14</v>
      </c>
      <c r="Z188" s="1" t="s">
        <v>178</v>
      </c>
      <c r="AA188" s="1" t="s">
        <v>176</v>
      </c>
    </row>
    <row r="189" spans="1:27" ht="12.75">
      <c r="A189" s="3" t="s">
        <v>172</v>
      </c>
      <c r="B189" s="1" t="s">
        <v>547</v>
      </c>
      <c r="C189" s="1" t="s">
        <v>548</v>
      </c>
      <c r="D189" s="1" t="s">
        <v>56</v>
      </c>
      <c r="E189" s="6" t="str">
        <f>HYPERLINK("https://www.bioscidb.com/browse/deal_bg/9309","Link")</f>
        <v>Link</v>
      </c>
      <c r="F189" s="1" t="s">
        <v>69</v>
      </c>
      <c r="G189" s="16" t="s">
        <v>30</v>
      </c>
      <c r="H189" s="4">
        <v>120</v>
      </c>
      <c r="I189" s="4">
        <v>105</v>
      </c>
      <c r="J189" s="4" t="s">
        <v>14</v>
      </c>
      <c r="K189" s="20">
        <f>I189/H189</f>
        <v>0.875</v>
      </c>
      <c r="L189" s="5" t="s">
        <v>14</v>
      </c>
      <c r="M189" s="4" t="s">
        <v>14</v>
      </c>
      <c r="N189" s="4"/>
      <c r="O189" s="4" t="s">
        <v>14</v>
      </c>
      <c r="P189" s="4"/>
      <c r="Q189" s="4">
        <v>15</v>
      </c>
      <c r="R189" s="4"/>
      <c r="S189" s="4" t="s">
        <v>14</v>
      </c>
      <c r="T189" s="4"/>
      <c r="U189" s="8"/>
      <c r="V189" s="4"/>
      <c r="W189" s="1" t="s">
        <v>14</v>
      </c>
      <c r="X189" s="1" t="s">
        <v>14</v>
      </c>
      <c r="Y189" s="1" t="s">
        <v>14</v>
      </c>
      <c r="Z189" s="1" t="s">
        <v>178</v>
      </c>
      <c r="AA189" s="1" t="s">
        <v>14</v>
      </c>
    </row>
    <row r="190" spans="1:27" ht="25.5">
      <c r="A190" s="3" t="s">
        <v>583</v>
      </c>
      <c r="B190" s="1" t="s">
        <v>718</v>
      </c>
      <c r="C190" s="1" t="s">
        <v>478</v>
      </c>
      <c r="D190" s="1" t="s">
        <v>56</v>
      </c>
      <c r="E190" s="6" t="str">
        <f>HYPERLINK("https://www.bioscidb.com/browse/deal_bg/6801","Link")</f>
        <v>Link</v>
      </c>
      <c r="F190" s="1" t="s">
        <v>15</v>
      </c>
      <c r="G190" s="16" t="s">
        <v>719</v>
      </c>
      <c r="H190" s="4">
        <v>132.5</v>
      </c>
      <c r="I190" s="4">
        <v>112.5</v>
      </c>
      <c r="J190" s="4" t="s">
        <v>14</v>
      </c>
      <c r="K190" s="20">
        <f>I190/H190</f>
        <v>0.8490566037735849</v>
      </c>
      <c r="L190" s="5" t="s">
        <v>19</v>
      </c>
      <c r="M190" s="4" t="s">
        <v>14</v>
      </c>
      <c r="N190" s="4"/>
      <c r="O190" s="4" t="s">
        <v>14</v>
      </c>
      <c r="P190" s="4"/>
      <c r="Q190" s="4">
        <v>20</v>
      </c>
      <c r="R190" s="6" t="str">
        <f>HYPERLINK("https://www.bioscidb.com/tag/gettag/2e4a626b-2437-4a3d-af38-8e797d325034","Tag")</f>
        <v>Tag</v>
      </c>
      <c r="S190" s="4">
        <v>7.000000000000001</v>
      </c>
      <c r="T190" s="4"/>
      <c r="U190" s="8"/>
      <c r="V190" s="4"/>
      <c r="W190" s="1" t="s">
        <v>14</v>
      </c>
      <c r="X190" s="1" t="s">
        <v>66</v>
      </c>
      <c r="Y190" s="1" t="s">
        <v>156</v>
      </c>
      <c r="Z190" s="1" t="s">
        <v>721</v>
      </c>
      <c r="AA190" s="1" t="s">
        <v>720</v>
      </c>
    </row>
    <row r="191" spans="1:27" ht="25.5">
      <c r="A191" s="3" t="s">
        <v>583</v>
      </c>
      <c r="B191" s="1" t="s">
        <v>584</v>
      </c>
      <c r="C191" s="1" t="s">
        <v>120</v>
      </c>
      <c r="D191" s="17" t="s">
        <v>67</v>
      </c>
      <c r="E191" s="6" t="str">
        <f>HYPERLINK("https://www.bioscidb.com/browse/deal_bg/9827","Link")</f>
        <v>Link</v>
      </c>
      <c r="F191" s="1" t="s">
        <v>69</v>
      </c>
      <c r="G191" s="16" t="s">
        <v>585</v>
      </c>
      <c r="H191" s="4">
        <v>665</v>
      </c>
      <c r="I191" s="4" t="s">
        <v>14</v>
      </c>
      <c r="J191" s="4">
        <v>28</v>
      </c>
      <c r="K191" s="20">
        <f>J191/H191</f>
        <v>0.042105263157894736</v>
      </c>
      <c r="L191" s="5" t="s">
        <v>14</v>
      </c>
      <c r="M191" s="4">
        <v>240</v>
      </c>
      <c r="N191" s="4"/>
      <c r="O191" s="4" t="s">
        <v>14</v>
      </c>
      <c r="P191" s="4"/>
      <c r="Q191" s="4" t="s">
        <v>14</v>
      </c>
      <c r="R191" s="4"/>
      <c r="S191" s="4" t="s">
        <v>14</v>
      </c>
      <c r="T191" s="4"/>
      <c r="U191" s="8"/>
      <c r="V191" s="4"/>
      <c r="W191" s="1" t="s">
        <v>14</v>
      </c>
      <c r="X191" s="1" t="s">
        <v>79</v>
      </c>
      <c r="Y191" s="1" t="s">
        <v>123</v>
      </c>
      <c r="Z191" s="1" t="s">
        <v>84</v>
      </c>
      <c r="AA191" s="1" t="s">
        <v>586</v>
      </c>
    </row>
    <row r="192" spans="1:27" ht="12.75">
      <c r="A192" s="3" t="s">
        <v>360</v>
      </c>
      <c r="B192" s="1" t="s">
        <v>361</v>
      </c>
      <c r="C192" s="1" t="s">
        <v>362</v>
      </c>
      <c r="D192" s="1" t="s">
        <v>43</v>
      </c>
      <c r="E192" s="6" t="str">
        <f>HYPERLINK("https://www.bioscidb.com/browse/deal_bg/1059","Link")</f>
        <v>Link</v>
      </c>
      <c r="F192" s="1" t="s">
        <v>15</v>
      </c>
      <c r="G192" s="16" t="s">
        <v>363</v>
      </c>
      <c r="H192" s="4">
        <v>10.4</v>
      </c>
      <c r="I192" s="4">
        <v>1.4</v>
      </c>
      <c r="J192" s="4" t="s">
        <v>14</v>
      </c>
      <c r="K192" s="20">
        <f>I192/H192</f>
        <v>0.1346153846153846</v>
      </c>
      <c r="L192" s="5" t="s">
        <v>19</v>
      </c>
      <c r="M192" s="4">
        <v>3</v>
      </c>
      <c r="N192" s="6" t="str">
        <f>HYPERLINK("https://www.bioscidb.com/tag/gettag/6779f40a-c7b9-4d36-a938-0b67ea0aba26","Tag")</f>
        <v>Tag</v>
      </c>
      <c r="O192" s="4" t="s">
        <v>14</v>
      </c>
      <c r="P192" s="4"/>
      <c r="Q192" s="4">
        <v>6</v>
      </c>
      <c r="R192" s="6" t="str">
        <f>HYPERLINK("https://www.bioscidb.com/tag/gettag/ce76813e-f53d-4d6a-9f41-d7998ac3725f","Tag")</f>
        <v>Tag</v>
      </c>
      <c r="S192" s="4">
        <v>5</v>
      </c>
      <c r="T192" s="4"/>
      <c r="U192" s="8"/>
      <c r="V192" s="4"/>
      <c r="W192" s="1" t="s">
        <v>79</v>
      </c>
      <c r="X192" s="1" t="s">
        <v>14</v>
      </c>
      <c r="Y192" s="1" t="s">
        <v>24</v>
      </c>
      <c r="Z192" s="1" t="s">
        <v>22</v>
      </c>
      <c r="AA192" s="1" t="s">
        <v>14</v>
      </c>
    </row>
    <row r="193" spans="1:27" ht="12.75">
      <c r="A193" s="3" t="s">
        <v>360</v>
      </c>
      <c r="B193" s="1" t="s">
        <v>491</v>
      </c>
      <c r="C193" s="1" t="s">
        <v>492</v>
      </c>
      <c r="D193" s="17" t="s">
        <v>67</v>
      </c>
      <c r="E193" s="6" t="str">
        <f>HYPERLINK("https://www.bioscidb.com/browse/deal_bg/4143","Link")</f>
        <v>Link</v>
      </c>
      <c r="F193" s="1" t="s">
        <v>69</v>
      </c>
      <c r="G193" s="16" t="s">
        <v>30</v>
      </c>
      <c r="H193" s="4">
        <v>555</v>
      </c>
      <c r="I193" s="4" t="s">
        <v>14</v>
      </c>
      <c r="J193" s="4" t="s">
        <v>14</v>
      </c>
      <c r="K193" s="20"/>
      <c r="L193" s="5" t="s">
        <v>14</v>
      </c>
      <c r="M193" s="4" t="s">
        <v>14</v>
      </c>
      <c r="N193" s="4"/>
      <c r="O193" s="4" t="s">
        <v>14</v>
      </c>
      <c r="P193" s="4"/>
      <c r="Q193" s="4" t="s">
        <v>14</v>
      </c>
      <c r="R193" s="4"/>
      <c r="S193" s="4" t="s">
        <v>14</v>
      </c>
      <c r="T193" s="4"/>
      <c r="U193" s="8"/>
      <c r="V193" s="4"/>
      <c r="W193" s="1" t="s">
        <v>14</v>
      </c>
      <c r="X193" s="1" t="s">
        <v>14</v>
      </c>
      <c r="Y193" s="1" t="s">
        <v>139</v>
      </c>
      <c r="Z193" s="1" t="s">
        <v>14</v>
      </c>
      <c r="AA193" s="1" t="s">
        <v>14</v>
      </c>
    </row>
    <row r="194" spans="1:27" ht="12.75">
      <c r="A194" s="3" t="s">
        <v>387</v>
      </c>
      <c r="B194" s="1" t="s">
        <v>388</v>
      </c>
      <c r="C194" s="1" t="s">
        <v>389</v>
      </c>
      <c r="D194" s="1" t="s">
        <v>280</v>
      </c>
      <c r="E194" s="6" t="str">
        <f>HYPERLINK("https://www.bioscidb.com/browse/deal_bg/3898","Link")</f>
        <v>Link</v>
      </c>
      <c r="F194" s="1" t="s">
        <v>27</v>
      </c>
      <c r="G194" s="16" t="s">
        <v>30</v>
      </c>
      <c r="H194" s="4">
        <v>925</v>
      </c>
      <c r="I194" s="4">
        <v>900</v>
      </c>
      <c r="J194" s="4" t="s">
        <v>14</v>
      </c>
      <c r="K194" s="20">
        <f>I194/H194</f>
        <v>0.972972972972973</v>
      </c>
      <c r="L194" s="5" t="s">
        <v>19</v>
      </c>
      <c r="M194" s="4" t="s">
        <v>14</v>
      </c>
      <c r="N194" s="4"/>
      <c r="O194" s="4" t="s">
        <v>14</v>
      </c>
      <c r="P194" s="4"/>
      <c r="Q194" s="4">
        <v>25</v>
      </c>
      <c r="R194" s="6" t="str">
        <f>HYPERLINK("https://www.bioscidb.com/tag/gettag/371eb96a-1b8f-4e02-91c0-92f03e658162","Tag")</f>
        <v>Tag</v>
      </c>
      <c r="S194" s="4" t="s">
        <v>14</v>
      </c>
      <c r="T194" s="4"/>
      <c r="U194" s="8"/>
      <c r="V194" s="4"/>
      <c r="W194" s="1" t="s">
        <v>14</v>
      </c>
      <c r="X194" s="1" t="s">
        <v>14</v>
      </c>
      <c r="Y194" s="1" t="s">
        <v>391</v>
      </c>
      <c r="Z194" s="1" t="s">
        <v>14</v>
      </c>
      <c r="AA194" s="1" t="s">
        <v>390</v>
      </c>
    </row>
    <row r="195" spans="1:27" ht="12.75">
      <c r="A195" s="3" t="s">
        <v>290</v>
      </c>
      <c r="B195" s="1" t="s">
        <v>291</v>
      </c>
      <c r="C195" s="1" t="s">
        <v>292</v>
      </c>
      <c r="D195" s="1" t="s">
        <v>56</v>
      </c>
      <c r="E195" s="6" t="str">
        <f>HYPERLINK("https://www.bioscidb.com/browse/deal_bg/6600","Link")</f>
        <v>Link</v>
      </c>
      <c r="F195" s="1" t="s">
        <v>27</v>
      </c>
      <c r="G195" s="16" t="s">
        <v>30</v>
      </c>
      <c r="H195" s="4">
        <v>150</v>
      </c>
      <c r="I195" s="4">
        <v>125</v>
      </c>
      <c r="J195" s="4" t="s">
        <v>14</v>
      </c>
      <c r="K195" s="20">
        <f>I195/H195</f>
        <v>0.8333333333333334</v>
      </c>
      <c r="L195" s="5" t="s">
        <v>19</v>
      </c>
      <c r="M195" s="4" t="s">
        <v>14</v>
      </c>
      <c r="N195" s="4"/>
      <c r="O195" s="4">
        <v>6</v>
      </c>
      <c r="P195" s="6" t="str">
        <f>HYPERLINK("https://www.bioscidb.com/tag/gettag/98c79a1a-c309-404a-a203-8b816ea94895","Tag")</f>
        <v>Tag</v>
      </c>
      <c r="Q195" s="4">
        <v>19</v>
      </c>
      <c r="R195" s="6" t="str">
        <f>HYPERLINK("https://www.bioscidb.com/tag/gettag/467f8552-c5c8-488c-a498-73465fd103a6","Tag")</f>
        <v>Tag</v>
      </c>
      <c r="S195" s="4" t="s">
        <v>14</v>
      </c>
      <c r="T195" s="6" t="str">
        <f>HYPERLINK("https://www.bioscidb.com/tag/gettag/a78a066a-8437-4256-96cf-16d36b02492b","Tag")</f>
        <v>Tag</v>
      </c>
      <c r="U195" s="8"/>
      <c r="V195" s="4"/>
      <c r="W195" s="1" t="s">
        <v>14</v>
      </c>
      <c r="X195" s="1" t="s">
        <v>14</v>
      </c>
      <c r="Y195" s="1" t="s">
        <v>21</v>
      </c>
      <c r="Z195" s="1" t="s">
        <v>14</v>
      </c>
      <c r="AA195" s="1" t="s">
        <v>293</v>
      </c>
    </row>
    <row r="196" spans="1:27" ht="12.75">
      <c r="A196" s="3" t="s">
        <v>168</v>
      </c>
      <c r="B196" s="1" t="s">
        <v>169</v>
      </c>
      <c r="C196" s="1" t="s">
        <v>170</v>
      </c>
      <c r="D196" s="1" t="s">
        <v>56</v>
      </c>
      <c r="E196" s="6" t="str">
        <f>HYPERLINK("https://www.bioscidb.com/browse/deal_bg/5173","Link")</f>
        <v>Link</v>
      </c>
      <c r="F196" s="1" t="s">
        <v>27</v>
      </c>
      <c r="G196" s="16" t="s">
        <v>30</v>
      </c>
      <c r="H196" s="4">
        <v>218</v>
      </c>
      <c r="I196" s="4">
        <v>206</v>
      </c>
      <c r="J196" s="4" t="s">
        <v>14</v>
      </c>
      <c r="K196" s="20">
        <f>I196/H196</f>
        <v>0.944954128440367</v>
      </c>
      <c r="L196" s="5" t="s">
        <v>19</v>
      </c>
      <c r="M196" s="4" t="s">
        <v>14</v>
      </c>
      <c r="N196" s="4"/>
      <c r="O196" s="4">
        <v>12</v>
      </c>
      <c r="P196" s="4"/>
      <c r="Q196" s="4" t="s">
        <v>14</v>
      </c>
      <c r="R196" s="4"/>
      <c r="S196" s="4" t="s">
        <v>14</v>
      </c>
      <c r="T196" s="4"/>
      <c r="U196" s="8"/>
      <c r="V196" s="4"/>
      <c r="W196" s="1" t="s">
        <v>14</v>
      </c>
      <c r="X196" s="1" t="s">
        <v>14</v>
      </c>
      <c r="Y196" s="1" t="s">
        <v>55</v>
      </c>
      <c r="Z196" s="1" t="s">
        <v>14</v>
      </c>
      <c r="AA196" s="1" t="s">
        <v>171</v>
      </c>
    </row>
    <row r="197" spans="1:27" ht="12.75">
      <c r="A197" s="3" t="s">
        <v>168</v>
      </c>
      <c r="B197" s="1" t="s">
        <v>326</v>
      </c>
      <c r="C197" s="1" t="s">
        <v>327</v>
      </c>
      <c r="D197" s="1" t="s">
        <v>56</v>
      </c>
      <c r="E197" s="6" t="str">
        <f>HYPERLINK("https://www.bioscidb.com/browse/deal_bg/5252","Link")</f>
        <v>Link</v>
      </c>
      <c r="F197" s="1" t="s">
        <v>27</v>
      </c>
      <c r="G197" s="16" t="s">
        <v>30</v>
      </c>
      <c r="H197" s="4">
        <v>700</v>
      </c>
      <c r="I197" s="4">
        <v>650</v>
      </c>
      <c r="J197" s="4" t="s">
        <v>14</v>
      </c>
      <c r="K197" s="20">
        <f>I197/H197</f>
        <v>0.9285714285714286</v>
      </c>
      <c r="L197" s="5" t="s">
        <v>19</v>
      </c>
      <c r="M197" s="4" t="s">
        <v>14</v>
      </c>
      <c r="N197" s="4"/>
      <c r="O197" s="4" t="s">
        <v>14</v>
      </c>
      <c r="P197" s="4"/>
      <c r="Q197" s="4">
        <v>50</v>
      </c>
      <c r="R197" s="6" t="str">
        <f>HYPERLINK("https://www.bioscidb.com/tag/gettag/8be3ca47-b345-44a1-8aa6-0ffd20eee8a3","Tag")</f>
        <v>Tag</v>
      </c>
      <c r="S197" s="4" t="s">
        <v>14</v>
      </c>
      <c r="T197" s="6" t="str">
        <f>HYPERLINK("https://www.bioscidb.com/tag/gettag/8f0628c1-d8f7-445e-8eba-898fc75635ac","Tag")</f>
        <v>Tag</v>
      </c>
      <c r="U197" s="8"/>
      <c r="V197" s="4"/>
      <c r="W197" s="1" t="s">
        <v>14</v>
      </c>
      <c r="X197" s="1" t="s">
        <v>14</v>
      </c>
      <c r="Y197" s="1" t="s">
        <v>55</v>
      </c>
      <c r="Z197" s="1" t="s">
        <v>329</v>
      </c>
      <c r="AA197" s="1" t="s">
        <v>328</v>
      </c>
    </row>
    <row r="198" spans="1:27" ht="25.5">
      <c r="A198" s="3" t="s">
        <v>168</v>
      </c>
      <c r="B198" s="1" t="s">
        <v>219</v>
      </c>
      <c r="C198" s="1" t="s">
        <v>220</v>
      </c>
      <c r="D198" s="1" t="s">
        <v>43</v>
      </c>
      <c r="E198" s="6" t="str">
        <f>HYPERLINK("https://www.bioscidb.com/browse/deal_bg/1713","Link")</f>
        <v>Link</v>
      </c>
      <c r="F198" s="1" t="s">
        <v>45</v>
      </c>
      <c r="G198" s="16" t="s">
        <v>221</v>
      </c>
      <c r="H198" s="4">
        <v>162.5</v>
      </c>
      <c r="I198" s="4">
        <v>15</v>
      </c>
      <c r="J198" s="4">
        <v>15</v>
      </c>
      <c r="K198" s="20">
        <f>(I198+J198)/H198</f>
        <v>0.18461538461538463</v>
      </c>
      <c r="L198" s="5" t="s">
        <v>14</v>
      </c>
      <c r="M198" s="4" t="s">
        <v>14</v>
      </c>
      <c r="N198" s="4"/>
      <c r="O198" s="4" t="s">
        <v>14</v>
      </c>
      <c r="P198" s="4"/>
      <c r="Q198" s="4" t="s">
        <v>14</v>
      </c>
      <c r="R198" s="4"/>
      <c r="S198" s="4" t="s">
        <v>14</v>
      </c>
      <c r="T198" s="4"/>
      <c r="U198" s="8"/>
      <c r="V198" s="4"/>
      <c r="W198" s="1" t="s">
        <v>14</v>
      </c>
      <c r="X198" s="1" t="s">
        <v>14</v>
      </c>
      <c r="Y198" s="1" t="s">
        <v>223</v>
      </c>
      <c r="Z198" s="1" t="s">
        <v>22</v>
      </c>
      <c r="AA198" s="1" t="s">
        <v>222</v>
      </c>
    </row>
    <row r="199" spans="1:27" ht="12.75">
      <c r="A199" s="3" t="s">
        <v>168</v>
      </c>
      <c r="B199" s="1" t="s">
        <v>371</v>
      </c>
      <c r="C199" s="1" t="s">
        <v>114</v>
      </c>
      <c r="D199" s="1" t="s">
        <v>56</v>
      </c>
      <c r="E199" s="6" t="str">
        <f>HYPERLINK("https://www.bioscidb.com/browse/deal_bg/6599","Link")</f>
        <v>Link</v>
      </c>
      <c r="F199" s="1" t="s">
        <v>69</v>
      </c>
      <c r="G199" s="16" t="s">
        <v>30</v>
      </c>
      <c r="H199" s="4">
        <v>800</v>
      </c>
      <c r="I199" s="4">
        <v>800</v>
      </c>
      <c r="J199" s="4" t="s">
        <v>14</v>
      </c>
      <c r="K199" s="20">
        <f>I199/H199</f>
        <v>1</v>
      </c>
      <c r="L199" s="5" t="s">
        <v>14</v>
      </c>
      <c r="M199" s="4" t="s">
        <v>14</v>
      </c>
      <c r="N199" s="4"/>
      <c r="O199" s="4" t="s">
        <v>14</v>
      </c>
      <c r="P199" s="4"/>
      <c r="Q199" s="4" t="s">
        <v>14</v>
      </c>
      <c r="R199" s="4"/>
      <c r="S199" s="4" t="s">
        <v>14</v>
      </c>
      <c r="T199" s="4"/>
      <c r="U199" s="8"/>
      <c r="V199" s="4"/>
      <c r="W199" s="1" t="s">
        <v>14</v>
      </c>
      <c r="X199" s="1" t="s">
        <v>79</v>
      </c>
      <c r="Y199" s="1" t="s">
        <v>14</v>
      </c>
      <c r="Z199" s="1" t="s">
        <v>14</v>
      </c>
      <c r="AA199" s="1" t="s">
        <v>372</v>
      </c>
    </row>
    <row r="200" spans="1:27" ht="12.75">
      <c r="A200" s="3" t="s">
        <v>168</v>
      </c>
      <c r="B200" s="1" t="s">
        <v>297</v>
      </c>
      <c r="C200" s="1" t="s">
        <v>298</v>
      </c>
      <c r="D200" s="1" t="s">
        <v>56</v>
      </c>
      <c r="E200" s="6" t="str">
        <f>HYPERLINK("https://www.bioscidb.com/browse/deal_bg/1103","Link")</f>
        <v>Link</v>
      </c>
      <c r="F200" s="1" t="s">
        <v>27</v>
      </c>
      <c r="G200" s="16" t="s">
        <v>30</v>
      </c>
      <c r="H200" s="4">
        <v>5930</v>
      </c>
      <c r="I200" s="4">
        <v>5600</v>
      </c>
      <c r="J200" s="4" t="s">
        <v>14</v>
      </c>
      <c r="K200" s="20">
        <f>I200/H200</f>
        <v>0.9443507588532883</v>
      </c>
      <c r="L200" s="5" t="s">
        <v>19</v>
      </c>
      <c r="M200" s="4" t="s">
        <v>14</v>
      </c>
      <c r="N200" s="4"/>
      <c r="O200" s="4" t="s">
        <v>14</v>
      </c>
      <c r="P200" s="4"/>
      <c r="Q200" s="4">
        <v>330</v>
      </c>
      <c r="R200" s="6" t="str">
        <f>HYPERLINK("https://www.bioscidb.com/tag/gettag/fff433b2-3bde-44f1-8115-7721a00408e9","Tag")</f>
        <v>Tag</v>
      </c>
      <c r="S200" s="4" t="s">
        <v>14</v>
      </c>
      <c r="T200" s="6" t="str">
        <f>HYPERLINK("https://www.bioscidb.com/tag/gettag/54ea382b-c44b-47b3-b228-47157622538e","Tag")</f>
        <v>Tag</v>
      </c>
      <c r="U200" s="8">
        <v>1</v>
      </c>
      <c r="V200" s="6" t="str">
        <f>HYPERLINK("https://www.bioscidb.com/tag/gettag/f397eacc-f2f2-4653-bbf5-276ebdbbcdd9","Tag")</f>
        <v>Tag</v>
      </c>
      <c r="W200" s="1" t="s">
        <v>66</v>
      </c>
      <c r="X200" s="1" t="s">
        <v>66</v>
      </c>
      <c r="Y200" s="1" t="s">
        <v>14</v>
      </c>
      <c r="Z200" s="1" t="s">
        <v>178</v>
      </c>
      <c r="AA200" s="1" t="s">
        <v>299</v>
      </c>
    </row>
    <row r="201" spans="1:27" ht="12.75">
      <c r="A201" s="3" t="s">
        <v>342</v>
      </c>
      <c r="B201" s="1" t="s">
        <v>420</v>
      </c>
      <c r="C201" s="1" t="s">
        <v>421</v>
      </c>
      <c r="D201" s="1" t="s">
        <v>43</v>
      </c>
      <c r="E201" s="6" t="str">
        <f>HYPERLINK("https://www.bioscidb.com/browse/deal_bg/6586","Link")</f>
        <v>Link</v>
      </c>
      <c r="F201" s="1" t="s">
        <v>45</v>
      </c>
      <c r="G201" s="16" t="s">
        <v>30</v>
      </c>
      <c r="H201" s="4">
        <v>325</v>
      </c>
      <c r="I201" s="4">
        <v>100</v>
      </c>
      <c r="J201" s="4" t="s">
        <v>14</v>
      </c>
      <c r="K201" s="20">
        <f>I201/H201</f>
        <v>0.3076923076923077</v>
      </c>
      <c r="L201" s="5" t="s">
        <v>14</v>
      </c>
      <c r="M201" s="4" t="s">
        <v>14</v>
      </c>
      <c r="N201" s="4"/>
      <c r="O201" s="4" t="s">
        <v>14</v>
      </c>
      <c r="P201" s="4"/>
      <c r="Q201" s="4" t="s">
        <v>14</v>
      </c>
      <c r="R201" s="4"/>
      <c r="S201" s="4" t="s">
        <v>14</v>
      </c>
      <c r="T201" s="4"/>
      <c r="U201" s="8"/>
      <c r="V201" s="4"/>
      <c r="W201" s="1" t="s">
        <v>14</v>
      </c>
      <c r="X201" s="1" t="s">
        <v>88</v>
      </c>
      <c r="Y201" s="1" t="s">
        <v>123</v>
      </c>
      <c r="Z201" s="1" t="s">
        <v>14</v>
      </c>
      <c r="AA201" s="1" t="s">
        <v>109</v>
      </c>
    </row>
    <row r="202" spans="1:27" ht="12.75">
      <c r="A202" s="3" t="s">
        <v>149</v>
      </c>
      <c r="B202" s="1" t="s">
        <v>150</v>
      </c>
      <c r="C202" s="1" t="s">
        <v>151</v>
      </c>
      <c r="D202" s="17" t="s">
        <v>43</v>
      </c>
      <c r="E202" s="6" t="str">
        <f>HYPERLINK("https://www.bioscidb.com/browse/deal_bg/2779","Link")</f>
        <v>Link</v>
      </c>
      <c r="F202" s="1" t="s">
        <v>69</v>
      </c>
      <c r="G202" s="16" t="s">
        <v>30</v>
      </c>
      <c r="H202" s="4">
        <v>2630</v>
      </c>
      <c r="I202" s="4">
        <v>200</v>
      </c>
      <c r="J202" s="4" t="s">
        <v>14</v>
      </c>
      <c r="K202" s="20">
        <f>I202/H202</f>
        <v>0.07604562737642585</v>
      </c>
      <c r="L202" s="5" t="s">
        <v>14</v>
      </c>
      <c r="M202" s="4">
        <v>540</v>
      </c>
      <c r="N202" s="4"/>
      <c r="O202" s="4" t="s">
        <v>14</v>
      </c>
      <c r="P202" s="4"/>
      <c r="Q202" s="4">
        <v>1890</v>
      </c>
      <c r="R202" s="4"/>
      <c r="S202" s="4" t="s">
        <v>14</v>
      </c>
      <c r="T202" s="4"/>
      <c r="U202" s="8"/>
      <c r="V202" s="4"/>
      <c r="W202" s="1" t="s">
        <v>14</v>
      </c>
      <c r="X202" s="1" t="s">
        <v>54</v>
      </c>
      <c r="Y202" s="1" t="s">
        <v>55</v>
      </c>
      <c r="Z202" s="1" t="s">
        <v>22</v>
      </c>
      <c r="AA202" s="1" t="s">
        <v>14</v>
      </c>
    </row>
    <row r="203" spans="1:27" ht="12.75">
      <c r="A203" s="3" t="s">
        <v>149</v>
      </c>
      <c r="B203" s="1" t="s">
        <v>194</v>
      </c>
      <c r="C203" s="1" t="s">
        <v>195</v>
      </c>
      <c r="D203" s="17" t="s">
        <v>25</v>
      </c>
      <c r="E203" s="6" t="str">
        <f>HYPERLINK("https://www.bioscidb.com/browse/deal_bg/1120","Link")</f>
        <v>Link</v>
      </c>
      <c r="F203" s="1" t="s">
        <v>45</v>
      </c>
      <c r="G203" s="16" t="s">
        <v>30</v>
      </c>
      <c r="H203" s="4">
        <v>133.3</v>
      </c>
      <c r="I203" s="4">
        <v>10.3</v>
      </c>
      <c r="J203" s="4" t="s">
        <v>14</v>
      </c>
      <c r="K203" s="20">
        <f>I203/H203</f>
        <v>0.07726931732933233</v>
      </c>
      <c r="L203" s="5" t="s">
        <v>14</v>
      </c>
      <c r="M203" s="4">
        <v>18</v>
      </c>
      <c r="N203" s="4"/>
      <c r="O203" s="4" t="s">
        <v>14</v>
      </c>
      <c r="P203" s="4"/>
      <c r="Q203" s="4">
        <v>105</v>
      </c>
      <c r="R203" s="4"/>
      <c r="S203" s="4" t="s">
        <v>14</v>
      </c>
      <c r="T203" s="4"/>
      <c r="U203" s="8"/>
      <c r="V203" s="4"/>
      <c r="W203" s="1" t="s">
        <v>14</v>
      </c>
      <c r="X203" s="1" t="s">
        <v>14</v>
      </c>
      <c r="Y203" s="1" t="s">
        <v>139</v>
      </c>
      <c r="Z203" s="1" t="s">
        <v>32</v>
      </c>
      <c r="AA203" s="1" t="s">
        <v>14</v>
      </c>
    </row>
    <row r="204" spans="1:27" ht="12.75">
      <c r="A204" s="3" t="s">
        <v>149</v>
      </c>
      <c r="B204" s="1" t="s">
        <v>962</v>
      </c>
      <c r="C204" s="1" t="s">
        <v>357</v>
      </c>
      <c r="D204" s="1" t="s">
        <v>43</v>
      </c>
      <c r="E204" s="6" t="str">
        <f>HYPERLINK("https://www.bioscidb.com/browse/deal_bg/15964","Link")</f>
        <v>Link</v>
      </c>
      <c r="F204" s="1" t="s">
        <v>69</v>
      </c>
      <c r="G204" s="16" t="s">
        <v>963</v>
      </c>
      <c r="H204" s="4">
        <v>562.5</v>
      </c>
      <c r="I204" s="4">
        <v>75</v>
      </c>
      <c r="J204" s="4" t="s">
        <v>14</v>
      </c>
      <c r="K204" s="20">
        <f>I204/H204</f>
        <v>0.13333333333333333</v>
      </c>
      <c r="L204" s="5" t="s">
        <v>14</v>
      </c>
      <c r="M204" s="4">
        <v>487.5</v>
      </c>
      <c r="N204" s="4"/>
      <c r="O204" s="4" t="s">
        <v>14</v>
      </c>
      <c r="P204" s="4"/>
      <c r="Q204" s="4" t="s">
        <v>14</v>
      </c>
      <c r="R204" s="4"/>
      <c r="S204" s="4" t="s">
        <v>14</v>
      </c>
      <c r="T204" s="4"/>
      <c r="U204" s="8"/>
      <c r="V204" s="4"/>
      <c r="W204" s="1" t="s">
        <v>14</v>
      </c>
      <c r="X204" s="1" t="s">
        <v>23</v>
      </c>
      <c r="Y204" s="1" t="s">
        <v>569</v>
      </c>
      <c r="Z204" s="1" t="s">
        <v>84</v>
      </c>
      <c r="AA204" s="1" t="s">
        <v>14</v>
      </c>
    </row>
    <row r="205" spans="1:27" ht="12.75">
      <c r="A205" s="3" t="s">
        <v>110</v>
      </c>
      <c r="B205" s="1" t="s">
        <v>111</v>
      </c>
      <c r="C205" s="1" t="s">
        <v>71</v>
      </c>
      <c r="D205" s="1" t="s">
        <v>67</v>
      </c>
      <c r="E205" s="6" t="str">
        <f>HYPERLINK("https://www.bioscidb.com/browse/deal_bg/1428","Link")</f>
        <v>Link</v>
      </c>
      <c r="F205" s="1" t="s">
        <v>69</v>
      </c>
      <c r="G205" s="16" t="s">
        <v>30</v>
      </c>
      <c r="H205" s="4">
        <v>925</v>
      </c>
      <c r="I205" s="4">
        <v>350</v>
      </c>
      <c r="J205" s="4" t="s">
        <v>14</v>
      </c>
      <c r="K205" s="20">
        <f>I205/H205</f>
        <v>0.3783783783783784</v>
      </c>
      <c r="L205" s="5" t="s">
        <v>14</v>
      </c>
      <c r="M205" s="4">
        <v>195</v>
      </c>
      <c r="N205" s="4"/>
      <c r="O205" s="4">
        <v>380</v>
      </c>
      <c r="P205" s="4"/>
      <c r="Q205" s="4" t="s">
        <v>14</v>
      </c>
      <c r="R205" s="4"/>
      <c r="S205" s="4" t="s">
        <v>14</v>
      </c>
      <c r="T205" s="4"/>
      <c r="U205" s="8"/>
      <c r="V205" s="4"/>
      <c r="W205" s="1" t="s">
        <v>14</v>
      </c>
      <c r="X205" s="1" t="s">
        <v>23</v>
      </c>
      <c r="Y205" s="1" t="s">
        <v>95</v>
      </c>
      <c r="Z205" s="1" t="s">
        <v>22</v>
      </c>
      <c r="AA205" s="1" t="s">
        <v>112</v>
      </c>
    </row>
    <row r="206" spans="1:27" ht="12.75">
      <c r="A206" s="3" t="s">
        <v>44</v>
      </c>
      <c r="B206" s="1" t="s">
        <v>46</v>
      </c>
      <c r="C206" s="1" t="s">
        <v>47</v>
      </c>
      <c r="D206" s="1" t="s">
        <v>43</v>
      </c>
      <c r="E206" s="6" t="str">
        <f>HYPERLINK("https://www.bioscidb.com/browse/deal_bg/334","Link")</f>
        <v>Link</v>
      </c>
      <c r="F206" s="1" t="s">
        <v>45</v>
      </c>
      <c r="G206" s="16" t="s">
        <v>30</v>
      </c>
      <c r="H206" s="4">
        <v>1080</v>
      </c>
      <c r="I206" s="4">
        <v>610</v>
      </c>
      <c r="J206" s="4" t="s">
        <v>14</v>
      </c>
      <c r="K206" s="20">
        <f>I206/H206</f>
        <v>0.5648148148148148</v>
      </c>
      <c r="L206" s="5" t="s">
        <v>14</v>
      </c>
      <c r="M206" s="4" t="s">
        <v>14</v>
      </c>
      <c r="N206" s="4"/>
      <c r="O206" s="4" t="s">
        <v>14</v>
      </c>
      <c r="P206" s="4"/>
      <c r="Q206" s="4" t="s">
        <v>14</v>
      </c>
      <c r="R206" s="4"/>
      <c r="S206" s="4" t="s">
        <v>14</v>
      </c>
      <c r="T206" s="4"/>
      <c r="U206" s="8"/>
      <c r="V206" s="4"/>
      <c r="W206" s="1" t="s">
        <v>14</v>
      </c>
      <c r="X206" s="1" t="s">
        <v>23</v>
      </c>
      <c r="Y206" s="1" t="s">
        <v>49</v>
      </c>
      <c r="Z206" s="1" t="s">
        <v>14</v>
      </c>
      <c r="AA206" s="1" t="s">
        <v>48</v>
      </c>
    </row>
    <row r="207" spans="1:27" ht="12.75">
      <c r="A207" s="3" t="s">
        <v>44</v>
      </c>
      <c r="B207" s="1" t="s">
        <v>113</v>
      </c>
      <c r="C207" s="1" t="s">
        <v>114</v>
      </c>
      <c r="D207" s="1" t="s">
        <v>67</v>
      </c>
      <c r="E207" s="6" t="str">
        <f>HYPERLINK("https://www.bioscidb.com/browse/deal_bg/1435","Link")</f>
        <v>Link</v>
      </c>
      <c r="F207" s="1" t="s">
        <v>69</v>
      </c>
      <c r="G207" s="16" t="s">
        <v>30</v>
      </c>
      <c r="H207" s="4">
        <v>310</v>
      </c>
      <c r="I207" s="4">
        <v>190</v>
      </c>
      <c r="J207" s="4" t="s">
        <v>14</v>
      </c>
      <c r="K207" s="20">
        <f>I207/H207</f>
        <v>0.6129032258064516</v>
      </c>
      <c r="L207" s="5" t="s">
        <v>14</v>
      </c>
      <c r="M207" s="4">
        <v>120</v>
      </c>
      <c r="N207" s="4"/>
      <c r="O207" s="4" t="s">
        <v>14</v>
      </c>
      <c r="P207" s="4"/>
      <c r="Q207" s="4" t="s">
        <v>14</v>
      </c>
      <c r="R207" s="4"/>
      <c r="S207" s="4" t="s">
        <v>14</v>
      </c>
      <c r="T207" s="4"/>
      <c r="U207" s="8"/>
      <c r="V207" s="4"/>
      <c r="W207" s="1" t="s">
        <v>14</v>
      </c>
      <c r="X207" s="1" t="s">
        <v>79</v>
      </c>
      <c r="Y207" s="1" t="s">
        <v>55</v>
      </c>
      <c r="Z207" s="1" t="s">
        <v>22</v>
      </c>
      <c r="AA207" s="1" t="s">
        <v>14</v>
      </c>
    </row>
    <row r="208" spans="1:27" ht="25.5">
      <c r="A208" s="3" t="s">
        <v>44</v>
      </c>
      <c r="B208" s="1" t="s">
        <v>939</v>
      </c>
      <c r="C208" s="1" t="s">
        <v>940</v>
      </c>
      <c r="D208" s="1" t="s">
        <v>43</v>
      </c>
      <c r="E208" s="6" t="str">
        <f>HYPERLINK("https://www.bioscidb.com/browse/deal_bg/727","Link")</f>
        <v>Link</v>
      </c>
      <c r="F208" s="1" t="s">
        <v>15</v>
      </c>
      <c r="G208" s="16" t="s">
        <v>941</v>
      </c>
      <c r="H208" s="4">
        <v>264.9</v>
      </c>
      <c r="I208" s="4">
        <v>7.5</v>
      </c>
      <c r="J208" s="4" t="s">
        <v>14</v>
      </c>
      <c r="K208" s="20">
        <f>I208/H208</f>
        <v>0.028312570781426957</v>
      </c>
      <c r="L208" s="5" t="s">
        <v>19</v>
      </c>
      <c r="M208" s="4">
        <v>12.5</v>
      </c>
      <c r="N208" s="6" t="str">
        <f>HYPERLINK("https://www.bioscidb.com/tag/gettag/f084dbed-34c6-4ca7-b02b-026cb77e4618","Tag")</f>
        <v>Tag</v>
      </c>
      <c r="O208" s="4">
        <v>244.9</v>
      </c>
      <c r="P208" s="6" t="str">
        <f>HYPERLINK("https://www.bioscidb.com/tag/gettag/650b1a54-014c-4d9c-82c2-90df21beede7","Tag")</f>
        <v>Tag</v>
      </c>
      <c r="Q208" s="4" t="s">
        <v>14</v>
      </c>
      <c r="R208" s="4"/>
      <c r="S208" s="4" t="s">
        <v>14</v>
      </c>
      <c r="T208" s="4"/>
      <c r="U208" s="8">
        <v>2</v>
      </c>
      <c r="V208" s="6" t="str">
        <f>HYPERLINK("https://www.bioscidb.com/tag/gettag/66a4088e-1e27-4e55-8584-f5b0e846b029","Tag")</f>
        <v>Tag</v>
      </c>
      <c r="W208" s="1" t="s">
        <v>14</v>
      </c>
      <c r="X208" s="1" t="s">
        <v>23</v>
      </c>
      <c r="Y208" s="1" t="s">
        <v>203</v>
      </c>
      <c r="Z208" s="1" t="s">
        <v>32</v>
      </c>
      <c r="AA208" s="1" t="s">
        <v>942</v>
      </c>
    </row>
    <row r="209" spans="1:27" ht="25.5">
      <c r="A209" s="3" t="s">
        <v>44</v>
      </c>
      <c r="B209" s="1" t="s">
        <v>810</v>
      </c>
      <c r="C209" s="1" t="s">
        <v>811</v>
      </c>
      <c r="D209" s="1" t="s">
        <v>56</v>
      </c>
      <c r="E209" s="6" t="str">
        <f>HYPERLINK("https://www.bioscidb.com/browse/deal_bg/5884","Link")</f>
        <v>Link</v>
      </c>
      <c r="F209" s="1" t="s">
        <v>15</v>
      </c>
      <c r="G209" s="16" t="s">
        <v>812</v>
      </c>
      <c r="H209" s="4">
        <v>4</v>
      </c>
      <c r="I209" s="4" t="s">
        <v>14</v>
      </c>
      <c r="J209" s="4">
        <v>2</v>
      </c>
      <c r="K209" s="20">
        <f>J209/H209</f>
        <v>0.5</v>
      </c>
      <c r="L209" s="5" t="s">
        <v>19</v>
      </c>
      <c r="M209" s="4" t="s">
        <v>14</v>
      </c>
      <c r="N209" s="4"/>
      <c r="O209" s="4" t="s">
        <v>14</v>
      </c>
      <c r="P209" s="4"/>
      <c r="Q209" s="4" t="s">
        <v>14</v>
      </c>
      <c r="R209" s="4"/>
      <c r="S209" s="4" t="s">
        <v>14</v>
      </c>
      <c r="T209" s="4"/>
      <c r="U209" s="8"/>
      <c r="V209" s="4"/>
      <c r="W209" s="1" t="s">
        <v>14</v>
      </c>
      <c r="X209" s="1" t="s">
        <v>14</v>
      </c>
      <c r="Y209" s="1" t="s">
        <v>55</v>
      </c>
      <c r="Z209" s="1" t="s">
        <v>22</v>
      </c>
      <c r="AA209" s="1" t="s">
        <v>813</v>
      </c>
    </row>
    <row r="210" spans="1:27" ht="12.75">
      <c r="A210" s="3" t="s">
        <v>763</v>
      </c>
      <c r="B210" s="1" t="s">
        <v>764</v>
      </c>
      <c r="C210" s="1" t="s">
        <v>765</v>
      </c>
      <c r="D210" s="1" t="s">
        <v>56</v>
      </c>
      <c r="E210" s="6" t="str">
        <f>HYPERLINK("https://www.bioscidb.com/browse/deal_bg/14422","Link")</f>
        <v>Link</v>
      </c>
      <c r="F210" s="1" t="s">
        <v>15</v>
      </c>
      <c r="G210" s="16" t="s">
        <v>766</v>
      </c>
      <c r="H210" s="4" t="s">
        <v>14</v>
      </c>
      <c r="I210" s="4" t="s">
        <v>14</v>
      </c>
      <c r="J210" s="4" t="s">
        <v>14</v>
      </c>
      <c r="K210" s="20"/>
      <c r="L210" s="5" t="s">
        <v>19</v>
      </c>
      <c r="M210" s="4" t="s">
        <v>14</v>
      </c>
      <c r="N210" s="4"/>
      <c r="O210" s="4" t="s">
        <v>14</v>
      </c>
      <c r="P210" s="4"/>
      <c r="Q210" s="4" t="s">
        <v>14</v>
      </c>
      <c r="R210" s="4"/>
      <c r="S210" s="4">
        <v>12</v>
      </c>
      <c r="T210" s="4"/>
      <c r="U210" s="8">
        <v>7</v>
      </c>
      <c r="V210" s="6" t="str">
        <f>HYPERLINK("https://www.bioscidb.com/tag/gettag/43e21691-1aa6-453d-b99b-4b4669625b06","Tag")</f>
        <v>Tag</v>
      </c>
      <c r="W210" s="1" t="s">
        <v>14</v>
      </c>
      <c r="X210" s="1" t="s">
        <v>14</v>
      </c>
      <c r="Y210" s="1" t="s">
        <v>378</v>
      </c>
      <c r="Z210" s="1" t="s">
        <v>178</v>
      </c>
      <c r="AA210" s="1" t="s">
        <v>14</v>
      </c>
    </row>
    <row r="211" spans="1:27" ht="12.75">
      <c r="A211" s="3" t="s">
        <v>300</v>
      </c>
      <c r="B211" s="1" t="s">
        <v>301</v>
      </c>
      <c r="C211" s="1" t="s">
        <v>242</v>
      </c>
      <c r="D211" s="1" t="s">
        <v>56</v>
      </c>
      <c r="E211" s="6" t="str">
        <f>HYPERLINK("https://www.bioscidb.com/browse/deal_bg/209","Link")</f>
        <v>Link</v>
      </c>
      <c r="F211" s="1" t="s">
        <v>27</v>
      </c>
      <c r="G211" s="16" t="s">
        <v>30</v>
      </c>
      <c r="H211" s="4">
        <v>390</v>
      </c>
      <c r="I211" s="4">
        <v>190</v>
      </c>
      <c r="J211" s="4" t="s">
        <v>14</v>
      </c>
      <c r="K211" s="20">
        <f>I211/H211</f>
        <v>0.48717948717948717</v>
      </c>
      <c r="L211" s="5" t="s">
        <v>19</v>
      </c>
      <c r="M211" s="4" t="s">
        <v>14</v>
      </c>
      <c r="N211" s="4"/>
      <c r="O211" s="4">
        <v>200</v>
      </c>
      <c r="P211" s="6" t="str">
        <f>HYPERLINK("https://www.bioscidb.com/tag/gettag/0ebd5ae7-4e31-4ce4-ac2e-f0a859bc1151","Tag")</f>
        <v>Tag</v>
      </c>
      <c r="Q211" s="4" t="s">
        <v>14</v>
      </c>
      <c r="R211" s="6" t="str">
        <f>HYPERLINK("https://www.bioscidb.com/tag/gettag/d39c348b-66a1-4f68-85a8-6e6f5995c724","Tag")</f>
        <v>Tag</v>
      </c>
      <c r="S211" s="4" t="s">
        <v>14</v>
      </c>
      <c r="T211" s="6" t="str">
        <f>HYPERLINK("https://www.bioscidb.com/tag/gettag/9d0b7d3e-6451-4033-a370-376e31c48d2a","Tag")</f>
        <v>Tag</v>
      </c>
      <c r="U211" s="8">
        <v>17.5</v>
      </c>
      <c r="V211" s="6" t="str">
        <f>HYPERLINK("https://www.bioscidb.com/tag/gettag/c4e2367a-3fed-4016-bc1b-28ecdf0a56e2","Tag")</f>
        <v>Tag</v>
      </c>
      <c r="W211" s="1" t="s">
        <v>14</v>
      </c>
      <c r="X211" s="1" t="s">
        <v>79</v>
      </c>
      <c r="Y211" s="1" t="s">
        <v>139</v>
      </c>
      <c r="Z211" s="1" t="s">
        <v>22</v>
      </c>
      <c r="AA211" s="1" t="s">
        <v>302</v>
      </c>
    </row>
    <row r="212" spans="1:27" ht="12.75">
      <c r="A212" s="3" t="s">
        <v>587</v>
      </c>
      <c r="B212" s="1" t="s">
        <v>588</v>
      </c>
      <c r="C212" s="1" t="s">
        <v>589</v>
      </c>
      <c r="D212" s="1" t="s">
        <v>131</v>
      </c>
      <c r="E212" s="6" t="str">
        <f>HYPERLINK("https://www.bioscidb.com/browse/deal_bg/9944","Link")</f>
        <v>Link</v>
      </c>
      <c r="F212" s="1" t="s">
        <v>15</v>
      </c>
      <c r="G212" s="16" t="s">
        <v>590</v>
      </c>
      <c r="H212" s="4">
        <v>17.5</v>
      </c>
      <c r="I212" s="4">
        <v>17.5</v>
      </c>
      <c r="J212" s="4" t="s">
        <v>14</v>
      </c>
      <c r="K212" s="20">
        <f>I212/H212</f>
        <v>1</v>
      </c>
      <c r="L212" s="5" t="s">
        <v>19</v>
      </c>
      <c r="M212" s="4" t="s">
        <v>14</v>
      </c>
      <c r="N212" s="4"/>
      <c r="O212" s="4" t="s">
        <v>14</v>
      </c>
      <c r="P212" s="4"/>
      <c r="Q212" s="4" t="s">
        <v>14</v>
      </c>
      <c r="R212" s="4"/>
      <c r="S212" s="4">
        <v>5</v>
      </c>
      <c r="T212" s="4"/>
      <c r="U212" s="8"/>
      <c r="V212" s="4"/>
      <c r="W212" s="1" t="s">
        <v>14</v>
      </c>
      <c r="X212" s="1" t="s">
        <v>14</v>
      </c>
      <c r="Y212" s="1" t="s">
        <v>156</v>
      </c>
      <c r="Z212" s="1" t="s">
        <v>131</v>
      </c>
      <c r="AA212" s="1" t="s">
        <v>14</v>
      </c>
    </row>
    <row r="213" spans="1:27" ht="12.75">
      <c r="A213" s="3" t="s">
        <v>233</v>
      </c>
      <c r="B213" s="1" t="s">
        <v>364</v>
      </c>
      <c r="C213" s="1" t="s">
        <v>361</v>
      </c>
      <c r="D213" s="1" t="s">
        <v>67</v>
      </c>
      <c r="E213" s="6" t="str">
        <f>HYPERLINK("https://www.bioscidb.com/browse/deal_bg/4424","Link")</f>
        <v>Link</v>
      </c>
      <c r="F213" s="1" t="s">
        <v>69</v>
      </c>
      <c r="G213" s="16" t="s">
        <v>30</v>
      </c>
      <c r="H213" s="4">
        <v>475</v>
      </c>
      <c r="I213" s="4">
        <v>325</v>
      </c>
      <c r="J213" s="4" t="s">
        <v>14</v>
      </c>
      <c r="K213" s="20">
        <f>I213/H213</f>
        <v>0.6842105263157895</v>
      </c>
      <c r="L213" s="5" t="s">
        <v>14</v>
      </c>
      <c r="M213" s="4" t="s">
        <v>14</v>
      </c>
      <c r="N213" s="4"/>
      <c r="O213" s="4" t="s">
        <v>14</v>
      </c>
      <c r="P213" s="4"/>
      <c r="Q213" s="4" t="s">
        <v>14</v>
      </c>
      <c r="R213" s="4"/>
      <c r="S213" s="4" t="s">
        <v>14</v>
      </c>
      <c r="T213" s="4"/>
      <c r="U213" s="8"/>
      <c r="V213" s="4"/>
      <c r="W213" s="1" t="s">
        <v>14</v>
      </c>
      <c r="X213" s="1" t="s">
        <v>79</v>
      </c>
      <c r="Y213" s="1" t="s">
        <v>366</v>
      </c>
      <c r="Z213" s="1" t="s">
        <v>22</v>
      </c>
      <c r="AA213" s="1" t="s">
        <v>365</v>
      </c>
    </row>
    <row r="214" spans="1:27" ht="12.75">
      <c r="A214" s="3" t="s">
        <v>233</v>
      </c>
      <c r="B214" s="1" t="s">
        <v>234</v>
      </c>
      <c r="C214" s="1" t="s">
        <v>132</v>
      </c>
      <c r="D214" s="1" t="s">
        <v>43</v>
      </c>
      <c r="E214" s="6" t="str">
        <f>HYPERLINK("https://www.bioscidb.com/browse/deal_bg/5816","Link")</f>
        <v>Link</v>
      </c>
      <c r="F214" s="1" t="s">
        <v>45</v>
      </c>
      <c r="G214" s="16" t="s">
        <v>30</v>
      </c>
      <c r="H214" s="4">
        <v>275</v>
      </c>
      <c r="I214" s="4">
        <v>75</v>
      </c>
      <c r="J214" s="4" t="s">
        <v>14</v>
      </c>
      <c r="K214" s="20">
        <f>I214/H214</f>
        <v>0.2727272727272727</v>
      </c>
      <c r="L214" s="5" t="s">
        <v>14</v>
      </c>
      <c r="M214" s="4" t="s">
        <v>14</v>
      </c>
      <c r="N214" s="4"/>
      <c r="O214" s="4" t="s">
        <v>14</v>
      </c>
      <c r="P214" s="4"/>
      <c r="Q214" s="4" t="s">
        <v>14</v>
      </c>
      <c r="R214" s="4"/>
      <c r="S214" s="4" t="s">
        <v>14</v>
      </c>
      <c r="T214" s="4"/>
      <c r="U214" s="8"/>
      <c r="V214" s="4"/>
      <c r="W214" s="1" t="s">
        <v>14</v>
      </c>
      <c r="X214" s="1" t="s">
        <v>66</v>
      </c>
      <c r="Y214" s="1" t="s">
        <v>143</v>
      </c>
      <c r="Z214" s="1" t="s">
        <v>89</v>
      </c>
      <c r="AA214" s="1" t="s">
        <v>235</v>
      </c>
    </row>
    <row r="215" spans="1:27" ht="12.75">
      <c r="A215" s="3" t="s">
        <v>796</v>
      </c>
      <c r="B215" s="1" t="s">
        <v>797</v>
      </c>
      <c r="C215" s="1" t="s">
        <v>798</v>
      </c>
      <c r="D215" s="1" t="s">
        <v>56</v>
      </c>
      <c r="E215" s="6" t="str">
        <f>HYPERLINK("https://www.bioscidb.com/browse/deal_bg/1122","Link")</f>
        <v>Link</v>
      </c>
      <c r="F215" s="1" t="s">
        <v>45</v>
      </c>
      <c r="G215" s="16" t="s">
        <v>30</v>
      </c>
      <c r="H215" s="4">
        <v>618</v>
      </c>
      <c r="I215" s="4">
        <v>562</v>
      </c>
      <c r="J215" s="4" t="s">
        <v>14</v>
      </c>
      <c r="K215" s="20">
        <f>I215/H215</f>
        <v>0.9093851132686084</v>
      </c>
      <c r="L215" s="5" t="s">
        <v>14</v>
      </c>
      <c r="M215" s="4" t="s">
        <v>14</v>
      </c>
      <c r="N215" s="4"/>
      <c r="O215" s="4" t="s">
        <v>14</v>
      </c>
      <c r="P215" s="4"/>
      <c r="Q215" s="4">
        <v>56</v>
      </c>
      <c r="R215" s="4"/>
      <c r="S215" s="4" t="s">
        <v>14</v>
      </c>
      <c r="T215" s="4"/>
      <c r="U215" s="8"/>
      <c r="V215" s="4"/>
      <c r="W215" s="1" t="s">
        <v>14</v>
      </c>
      <c r="X215" s="1" t="s">
        <v>66</v>
      </c>
      <c r="Y215" s="1" t="s">
        <v>163</v>
      </c>
      <c r="Z215" s="1" t="s">
        <v>178</v>
      </c>
      <c r="AA215" s="1" t="s">
        <v>799</v>
      </c>
    </row>
    <row r="216" spans="1:27" ht="25.5">
      <c r="A216" s="3" t="s">
        <v>319</v>
      </c>
      <c r="B216" s="1" t="s">
        <v>409</v>
      </c>
      <c r="C216" s="1" t="s">
        <v>410</v>
      </c>
      <c r="D216" s="17" t="s">
        <v>50</v>
      </c>
      <c r="E216" s="6" t="str">
        <f>HYPERLINK("https://www.bioscidb.com/browse/deal_bg/9023","Link")</f>
        <v>Link</v>
      </c>
      <c r="F216" s="1" t="s">
        <v>45</v>
      </c>
      <c r="G216" s="16" t="s">
        <v>411</v>
      </c>
      <c r="H216" s="4">
        <v>257.5</v>
      </c>
      <c r="I216" s="4">
        <v>62.5</v>
      </c>
      <c r="J216" s="4" t="s">
        <v>14</v>
      </c>
      <c r="K216" s="20">
        <f>I216/H216</f>
        <v>0.24271844660194175</v>
      </c>
      <c r="L216" s="5" t="s">
        <v>14</v>
      </c>
      <c r="M216" s="4" t="s">
        <v>14</v>
      </c>
      <c r="N216" s="4"/>
      <c r="O216" s="4" t="s">
        <v>14</v>
      </c>
      <c r="P216" s="4"/>
      <c r="Q216" s="4" t="s">
        <v>14</v>
      </c>
      <c r="R216" s="4"/>
      <c r="S216" s="4" t="s">
        <v>14</v>
      </c>
      <c r="T216" s="4"/>
      <c r="U216" s="8"/>
      <c r="V216" s="4"/>
      <c r="W216" s="1" t="s">
        <v>14</v>
      </c>
      <c r="X216" s="1" t="s">
        <v>66</v>
      </c>
      <c r="Y216" s="1" t="s">
        <v>413</v>
      </c>
      <c r="Z216" s="1" t="s">
        <v>89</v>
      </c>
      <c r="AA216" s="1" t="s">
        <v>412</v>
      </c>
    </row>
    <row r="217" spans="1:27" ht="12.75">
      <c r="A217" s="3" t="s">
        <v>319</v>
      </c>
      <c r="B217" s="1" t="s">
        <v>320</v>
      </c>
      <c r="C217" s="1" t="s">
        <v>321</v>
      </c>
      <c r="D217" s="1" t="s">
        <v>56</v>
      </c>
      <c r="E217" s="6" t="str">
        <f>HYPERLINK("https://www.bioscidb.com/browse/deal_bg/13310","Link")</f>
        <v>Link</v>
      </c>
      <c r="F217" s="1" t="s">
        <v>27</v>
      </c>
      <c r="G217" s="16" t="s">
        <v>100</v>
      </c>
      <c r="H217" s="4">
        <v>100</v>
      </c>
      <c r="I217" s="4">
        <v>57</v>
      </c>
      <c r="J217" s="4" t="s">
        <v>14</v>
      </c>
      <c r="K217" s="20">
        <f>I217/H217</f>
        <v>0.57</v>
      </c>
      <c r="L217" s="5" t="s">
        <v>19</v>
      </c>
      <c r="M217" s="4" t="s">
        <v>14</v>
      </c>
      <c r="N217" s="4"/>
      <c r="O217" s="4" t="s">
        <v>14</v>
      </c>
      <c r="P217" s="4"/>
      <c r="Q217" s="4">
        <v>43</v>
      </c>
      <c r="R217" s="6" t="str">
        <f>HYPERLINK("https://www.bioscidb.com/tag/gettag/0c0cbc6a-077b-486e-8994-243fbfaaaa2a","Tag")</f>
        <v>Tag</v>
      </c>
      <c r="S217" s="4" t="s">
        <v>14</v>
      </c>
      <c r="T217" s="4"/>
      <c r="U217" s="8">
        <v>1.8</v>
      </c>
      <c r="V217" s="6" t="str">
        <f>HYPERLINK("https://www.bioscidb.com/tag/gettag/06cb2561-f2ef-41cf-9ec7-6faa0e9b7482","Tag")</f>
        <v>Tag</v>
      </c>
      <c r="W217" s="1" t="s">
        <v>14</v>
      </c>
      <c r="X217" s="1" t="s">
        <v>14</v>
      </c>
      <c r="Y217" s="1" t="s">
        <v>322</v>
      </c>
      <c r="Z217" s="1" t="s">
        <v>22</v>
      </c>
      <c r="AA217" s="1" t="s">
        <v>14</v>
      </c>
    </row>
    <row r="218" spans="1:27" ht="12.75">
      <c r="A218" s="3" t="s">
        <v>62</v>
      </c>
      <c r="B218" s="1" t="s">
        <v>63</v>
      </c>
      <c r="C218" s="1" t="s">
        <v>64</v>
      </c>
      <c r="D218" s="1" t="s">
        <v>43</v>
      </c>
      <c r="E218" s="6" t="str">
        <f>HYPERLINK("https://www.bioscidb.com/browse/deal_bg/174","Link")</f>
        <v>Link</v>
      </c>
      <c r="F218" s="1" t="s">
        <v>45</v>
      </c>
      <c r="G218" s="16" t="s">
        <v>30</v>
      </c>
      <c r="H218" s="4">
        <v>525</v>
      </c>
      <c r="I218" s="4">
        <v>225</v>
      </c>
      <c r="J218" s="4" t="s">
        <v>14</v>
      </c>
      <c r="K218" s="20">
        <f>I218/H218</f>
        <v>0.42857142857142855</v>
      </c>
      <c r="L218" s="5" t="s">
        <v>14</v>
      </c>
      <c r="M218" s="4" t="s">
        <v>14</v>
      </c>
      <c r="N218" s="4"/>
      <c r="O218" s="4" t="s">
        <v>14</v>
      </c>
      <c r="P218" s="4"/>
      <c r="Q218" s="4" t="s">
        <v>14</v>
      </c>
      <c r="R218" s="4"/>
      <c r="S218" s="4" t="s">
        <v>14</v>
      </c>
      <c r="T218" s="4"/>
      <c r="U218" s="8"/>
      <c r="V218" s="4"/>
      <c r="W218" s="1" t="s">
        <v>14</v>
      </c>
      <c r="X218" s="1" t="s">
        <v>66</v>
      </c>
      <c r="Y218" s="1" t="s">
        <v>55</v>
      </c>
      <c r="Z218" s="1" t="s">
        <v>22</v>
      </c>
      <c r="AA218" s="1" t="s">
        <v>65</v>
      </c>
    </row>
    <row r="219" spans="1:27" ht="12.75">
      <c r="A219" s="3" t="s">
        <v>103</v>
      </c>
      <c r="B219" s="17" t="s">
        <v>279</v>
      </c>
      <c r="C219" s="1" t="s">
        <v>216</v>
      </c>
      <c r="D219" s="1" t="s">
        <v>56</v>
      </c>
      <c r="E219" s="6" t="str">
        <f>HYPERLINK("https://www.bioscidb.com/browse/deal_bg/15974","Link")</f>
        <v>Link</v>
      </c>
      <c r="F219" s="1" t="s">
        <v>27</v>
      </c>
      <c r="G219" s="16" t="s">
        <v>30</v>
      </c>
      <c r="H219" s="4">
        <v>1575</v>
      </c>
      <c r="I219" s="4">
        <v>1300</v>
      </c>
      <c r="J219" s="4" t="s">
        <v>14</v>
      </c>
      <c r="K219" s="20">
        <f>I219/H219</f>
        <v>0.8253968253968254</v>
      </c>
      <c r="L219" s="5" t="s">
        <v>19</v>
      </c>
      <c r="M219" s="4" t="s">
        <v>14</v>
      </c>
      <c r="N219" s="4"/>
      <c r="O219" s="4" t="s">
        <v>14</v>
      </c>
      <c r="P219" s="4"/>
      <c r="Q219" s="4">
        <v>275</v>
      </c>
      <c r="R219" s="6" t="str">
        <f>HYPERLINK("https://www.bioscidb.com/tag/gettag/7a69830a-a474-4cbd-b072-8ab7892e8f11","Tag")</f>
        <v>Tag</v>
      </c>
      <c r="S219" s="4" t="s">
        <v>14</v>
      </c>
      <c r="T219" s="6" t="str">
        <f>HYPERLINK("https://www.bioscidb.com/tag/gettag/45241868-3e60-4c8f-93c1-17d9e7e861db","Tag")</f>
        <v>Tag</v>
      </c>
      <c r="U219" s="9">
        <v>9</v>
      </c>
      <c r="V219" s="6" t="str">
        <f>HYPERLINK("https://www.bioscidb.com/tag/gettag/c1f35a66-e65e-476b-b712-25ac5de6f2ed","Tag")</f>
        <v>Tag</v>
      </c>
      <c r="W219" s="1" t="s">
        <v>14</v>
      </c>
      <c r="X219" s="1" t="s">
        <v>14</v>
      </c>
      <c r="Y219" s="1" t="s">
        <v>14</v>
      </c>
      <c r="Z219" s="1" t="s">
        <v>14</v>
      </c>
      <c r="AA219" s="1" t="s">
        <v>244</v>
      </c>
    </row>
    <row r="220" spans="1:27" ht="12.75">
      <c r="A220" s="3" t="s">
        <v>103</v>
      </c>
      <c r="B220" s="1" t="s">
        <v>107</v>
      </c>
      <c r="C220" s="1" t="s">
        <v>108</v>
      </c>
      <c r="D220" s="1" t="s">
        <v>43</v>
      </c>
      <c r="E220" s="6" t="str">
        <f>HYPERLINK("https://www.bioscidb.com/browse/deal_bg/1337","Link")</f>
        <v>Link</v>
      </c>
      <c r="F220" s="1" t="s">
        <v>69</v>
      </c>
      <c r="G220" s="16" t="s">
        <v>30</v>
      </c>
      <c r="H220" s="4">
        <v>600</v>
      </c>
      <c r="I220" s="4">
        <v>375</v>
      </c>
      <c r="J220" s="4" t="s">
        <v>14</v>
      </c>
      <c r="K220" s="20">
        <f>I220/H220</f>
        <v>0.625</v>
      </c>
      <c r="L220" s="5" t="s">
        <v>14</v>
      </c>
      <c r="M220" s="4" t="s">
        <v>14</v>
      </c>
      <c r="N220" s="4"/>
      <c r="O220" s="4" t="s">
        <v>14</v>
      </c>
      <c r="P220" s="4"/>
      <c r="Q220" s="4" t="s">
        <v>14</v>
      </c>
      <c r="R220" s="4"/>
      <c r="S220" s="4" t="s">
        <v>14</v>
      </c>
      <c r="T220" s="4"/>
      <c r="U220" s="8"/>
      <c r="V220" s="4"/>
      <c r="W220" s="1" t="s">
        <v>14</v>
      </c>
      <c r="X220" s="1" t="s">
        <v>23</v>
      </c>
      <c r="Y220" s="1" t="s">
        <v>95</v>
      </c>
      <c r="Z220" s="1" t="s">
        <v>22</v>
      </c>
      <c r="AA220" s="1" t="s">
        <v>109</v>
      </c>
    </row>
    <row r="221" spans="1:27" ht="12.75">
      <c r="A221" s="3" t="s">
        <v>103</v>
      </c>
      <c r="B221" s="1" t="s">
        <v>336</v>
      </c>
      <c r="C221" s="1" t="s">
        <v>126</v>
      </c>
      <c r="D221" s="1" t="s">
        <v>56</v>
      </c>
      <c r="E221" s="6" t="str">
        <f>HYPERLINK("https://www.bioscidb.com/browse/deal_bg/1695","Link")</f>
        <v>Link</v>
      </c>
      <c r="F221" s="1" t="s">
        <v>27</v>
      </c>
      <c r="G221" s="16" t="s">
        <v>82</v>
      </c>
      <c r="H221" s="4">
        <v>23980</v>
      </c>
      <c r="I221" s="4">
        <v>20165</v>
      </c>
      <c r="J221" s="4" t="s">
        <v>14</v>
      </c>
      <c r="K221" s="20">
        <f>I221/H221</f>
        <v>0.8409090909090909</v>
      </c>
      <c r="L221" s="5" t="s">
        <v>19</v>
      </c>
      <c r="M221" s="4" t="s">
        <v>14</v>
      </c>
      <c r="N221" s="4"/>
      <c r="O221" s="4">
        <v>545</v>
      </c>
      <c r="P221" s="6" t="str">
        <f>HYPERLINK("https://www.bioscidb.com/tag/gettag/d8a91b24-8b64-4369-a23e-c35067192bfc","Tag")</f>
        <v>Tag</v>
      </c>
      <c r="Q221" s="4">
        <v>3270</v>
      </c>
      <c r="R221" s="6" t="str">
        <f>HYPERLINK("https://www.bioscidb.com/tag/gettag/e0c20e2c-4c26-4d46-85ee-30edba5f961d","Tag")</f>
        <v>Tag</v>
      </c>
      <c r="S221" s="4" t="s">
        <v>14</v>
      </c>
      <c r="T221" s="6" t="str">
        <f>HYPERLINK("https://www.bioscidb.com/tag/gettag/3428b138-f633-4343-9520-034b8f2b4415","Tag")</f>
        <v>Tag</v>
      </c>
      <c r="U221" s="8">
        <v>10</v>
      </c>
      <c r="V221" s="6" t="str">
        <f>HYPERLINK("https://www.bioscidb.com/tag/gettag/df8fc427-4fcb-4ad9-9499-8d7f7c5faaff","Tag")</f>
        <v>Tag</v>
      </c>
      <c r="W221" s="1" t="s">
        <v>14</v>
      </c>
      <c r="X221" s="1" t="s">
        <v>79</v>
      </c>
      <c r="Y221" s="1" t="s">
        <v>14</v>
      </c>
      <c r="Z221" s="1" t="s">
        <v>14</v>
      </c>
      <c r="AA221" s="1" t="s">
        <v>337</v>
      </c>
    </row>
    <row r="222" spans="1:27" ht="12.75">
      <c r="A222" s="3" t="s">
        <v>103</v>
      </c>
      <c r="B222" s="1" t="s">
        <v>104</v>
      </c>
      <c r="C222" s="1" t="s">
        <v>105</v>
      </c>
      <c r="D222" s="1" t="s">
        <v>50</v>
      </c>
      <c r="E222" s="6" t="str">
        <f>HYPERLINK("https://www.bioscidb.com/browse/deal_bg/1309","Link")</f>
        <v>Link</v>
      </c>
      <c r="F222" s="1" t="s">
        <v>69</v>
      </c>
      <c r="G222" s="16" t="s">
        <v>106</v>
      </c>
      <c r="H222" s="4">
        <v>935</v>
      </c>
      <c r="I222" s="4">
        <v>805</v>
      </c>
      <c r="J222" s="4" t="s">
        <v>14</v>
      </c>
      <c r="K222" s="20">
        <f>I222/H222</f>
        <v>0.8609625668449198</v>
      </c>
      <c r="L222" s="5" t="s">
        <v>14</v>
      </c>
      <c r="M222" s="4">
        <v>130</v>
      </c>
      <c r="N222" s="4"/>
      <c r="O222" s="4" t="s">
        <v>14</v>
      </c>
      <c r="P222" s="4"/>
      <c r="Q222" s="4" t="s">
        <v>14</v>
      </c>
      <c r="R222" s="4"/>
      <c r="S222" s="4" t="s">
        <v>14</v>
      </c>
      <c r="T222" s="4"/>
      <c r="U222" s="8"/>
      <c r="V222" s="4"/>
      <c r="W222" s="1" t="s">
        <v>14</v>
      </c>
      <c r="X222" s="1" t="s">
        <v>54</v>
      </c>
      <c r="Y222" s="1" t="s">
        <v>55</v>
      </c>
      <c r="Z222" s="1" t="s">
        <v>22</v>
      </c>
      <c r="AA222" s="1" t="s">
        <v>14</v>
      </c>
    </row>
    <row r="223" spans="1:27" ht="12.75">
      <c r="A223" s="3" t="s">
        <v>103</v>
      </c>
      <c r="B223" s="1" t="s">
        <v>621</v>
      </c>
      <c r="C223" s="1" t="s">
        <v>622</v>
      </c>
      <c r="D223" s="17" t="s">
        <v>50</v>
      </c>
      <c r="E223" s="6" t="str">
        <f>HYPERLINK("https://www.bioscidb.com/browse/deal_bg/1153","Link")</f>
        <v>Link</v>
      </c>
      <c r="F223" s="1" t="s">
        <v>15</v>
      </c>
      <c r="G223" s="16" t="s">
        <v>206</v>
      </c>
      <c r="H223" s="4" t="s">
        <v>14</v>
      </c>
      <c r="I223" s="4" t="s">
        <v>14</v>
      </c>
      <c r="J223" s="4" t="s">
        <v>14</v>
      </c>
      <c r="K223" s="20"/>
      <c r="L223" s="5" t="s">
        <v>19</v>
      </c>
      <c r="M223" s="4" t="s">
        <v>14</v>
      </c>
      <c r="N223" s="6" t="str">
        <f>HYPERLINK("https://www.bioscidb.com/tag/gettag/8fc5f1d8-1573-42ad-9b41-3c0f5a45fb6d","Tag")</f>
        <v>Tag</v>
      </c>
      <c r="O223" s="4" t="s">
        <v>14</v>
      </c>
      <c r="P223" s="4"/>
      <c r="Q223" s="4" t="s">
        <v>14</v>
      </c>
      <c r="R223" s="4"/>
      <c r="S223" s="4" t="s">
        <v>14</v>
      </c>
      <c r="T223" s="4"/>
      <c r="U223" s="8"/>
      <c r="V223" s="4"/>
      <c r="W223" s="1" t="s">
        <v>14</v>
      </c>
      <c r="X223" s="1" t="s">
        <v>14</v>
      </c>
      <c r="Y223" s="1" t="s">
        <v>123</v>
      </c>
      <c r="Z223" s="1" t="s">
        <v>22</v>
      </c>
      <c r="AA223" s="1" t="s">
        <v>14</v>
      </c>
    </row>
    <row r="224" spans="1:27" ht="12.75">
      <c r="A224" s="3" t="s">
        <v>26</v>
      </c>
      <c r="B224" s="1" t="s">
        <v>256</v>
      </c>
      <c r="C224" s="1" t="s">
        <v>257</v>
      </c>
      <c r="D224" s="1" t="s">
        <v>50</v>
      </c>
      <c r="E224" s="6" t="str">
        <f>HYPERLINK("https://www.bioscidb.com/browse/deal_bg/2310","Link")</f>
        <v>Link</v>
      </c>
      <c r="F224" s="1" t="s">
        <v>45</v>
      </c>
      <c r="G224" s="16" t="s">
        <v>30</v>
      </c>
      <c r="H224" s="4">
        <v>1000</v>
      </c>
      <c r="I224" s="4">
        <v>425</v>
      </c>
      <c r="J224" s="4" t="s">
        <v>14</v>
      </c>
      <c r="K224" s="20">
        <f>I224/H224</f>
        <v>0.425</v>
      </c>
      <c r="L224" s="5" t="s">
        <v>14</v>
      </c>
      <c r="M224" s="4" t="s">
        <v>14</v>
      </c>
      <c r="N224" s="4"/>
      <c r="O224" s="4" t="s">
        <v>14</v>
      </c>
      <c r="P224" s="4"/>
      <c r="Q224" s="4" t="s">
        <v>14</v>
      </c>
      <c r="R224" s="4"/>
      <c r="S224" s="4" t="s">
        <v>14</v>
      </c>
      <c r="T224" s="4"/>
      <c r="U224" s="8"/>
      <c r="V224" s="4"/>
      <c r="W224" s="1" t="s">
        <v>14</v>
      </c>
      <c r="X224" s="1" t="s">
        <v>23</v>
      </c>
      <c r="Y224" s="1" t="s">
        <v>55</v>
      </c>
      <c r="Z224" s="1" t="s">
        <v>259</v>
      </c>
      <c r="AA224" s="1" t="s">
        <v>258</v>
      </c>
    </row>
    <row r="225" spans="1:27" ht="12.75">
      <c r="A225" s="3" t="s">
        <v>26</v>
      </c>
      <c r="B225" s="1" t="s">
        <v>28</v>
      </c>
      <c r="C225" s="1" t="s">
        <v>29</v>
      </c>
      <c r="D225" s="1" t="s">
        <v>25</v>
      </c>
      <c r="E225" s="6" t="str">
        <f>HYPERLINK("https://www.bioscidb.com/browse/deal_bg/286","Link")</f>
        <v>Link</v>
      </c>
      <c r="F225" s="1" t="s">
        <v>27</v>
      </c>
      <c r="G225" s="16" t="s">
        <v>30</v>
      </c>
      <c r="H225" s="4">
        <v>41.4</v>
      </c>
      <c r="I225" s="4">
        <v>35.9</v>
      </c>
      <c r="J225" s="4" t="s">
        <v>14</v>
      </c>
      <c r="K225" s="20">
        <f>I225/H225</f>
        <v>0.8671497584541062</v>
      </c>
      <c r="L225" s="5" t="s">
        <v>19</v>
      </c>
      <c r="M225" s="4" t="s">
        <v>14</v>
      </c>
      <c r="N225" s="4"/>
      <c r="O225" s="4">
        <v>5.5</v>
      </c>
      <c r="P225" s="6" t="str">
        <f>HYPERLINK("https://www.bioscidb.com/tag/gettag/6e0255e3-f39e-4d4e-8261-fb1867953e6b","Tag")</f>
        <v>Tag</v>
      </c>
      <c r="Q225" s="4" t="s">
        <v>14</v>
      </c>
      <c r="R225" s="4"/>
      <c r="S225" s="4" t="s">
        <v>14</v>
      </c>
      <c r="T225" s="4"/>
      <c r="U225" s="9">
        <v>6</v>
      </c>
      <c r="V225" s="6" t="str">
        <f>HYPERLINK("https://www.bioscidb.com/tag/gettag/45c3cd7c-be73-465a-a00e-64fc91164962","Tag")</f>
        <v>Tag</v>
      </c>
      <c r="W225" s="1" t="s">
        <v>14</v>
      </c>
      <c r="X225" s="1" t="s">
        <v>14</v>
      </c>
      <c r="Y225" s="1" t="s">
        <v>14</v>
      </c>
      <c r="Z225" s="1" t="s">
        <v>32</v>
      </c>
      <c r="AA225" s="1" t="s">
        <v>31</v>
      </c>
    </row>
    <row r="226" spans="1:27" ht="12.75">
      <c r="A226" s="3" t="s">
        <v>26</v>
      </c>
      <c r="B226" s="1" t="s">
        <v>520</v>
      </c>
      <c r="C226" s="1" t="s">
        <v>521</v>
      </c>
      <c r="D226" s="1" t="s">
        <v>56</v>
      </c>
      <c r="E226" s="6" t="str">
        <f>HYPERLINK("https://www.bioscidb.com/browse/deal_bg/11870","Link")</f>
        <v>Link</v>
      </c>
      <c r="F226" s="1" t="s">
        <v>15</v>
      </c>
      <c r="G226" s="16" t="s">
        <v>30</v>
      </c>
      <c r="H226" s="4">
        <v>536</v>
      </c>
      <c r="I226" s="4">
        <v>494</v>
      </c>
      <c r="J226" s="4" t="s">
        <v>14</v>
      </c>
      <c r="K226" s="20">
        <f>I226/H226</f>
        <v>0.9216417910447762</v>
      </c>
      <c r="L226" s="5" t="s">
        <v>19</v>
      </c>
      <c r="M226" s="4" t="s">
        <v>14</v>
      </c>
      <c r="N226" s="4"/>
      <c r="O226" s="4" t="s">
        <v>14</v>
      </c>
      <c r="P226" s="4"/>
      <c r="Q226" s="4">
        <v>42</v>
      </c>
      <c r="R226" s="6" t="str">
        <f>HYPERLINK("https://www.bioscidb.com/tag/gettag/7f1e4a7e-47b6-4e71-84a3-988ded09362d","Tag")</f>
        <v>Tag</v>
      </c>
      <c r="S226" s="4" t="s">
        <v>14</v>
      </c>
      <c r="T226" s="4"/>
      <c r="U226" s="8">
        <v>1</v>
      </c>
      <c r="V226" s="6" t="str">
        <f>HYPERLINK("https://www.bioscidb.com/tag/gettag/c1aba568-47b1-4057-9430-2d05f76f0ad9","Tag")</f>
        <v>Tag</v>
      </c>
      <c r="W226" s="1" t="s">
        <v>14</v>
      </c>
      <c r="X226" s="1" t="s">
        <v>66</v>
      </c>
      <c r="Y226" s="1" t="s">
        <v>317</v>
      </c>
      <c r="Z226" s="1" t="s">
        <v>178</v>
      </c>
      <c r="AA226" s="1" t="s">
        <v>522</v>
      </c>
    </row>
    <row r="227" spans="1:27" ht="12.75">
      <c r="A227" s="3" t="s">
        <v>270</v>
      </c>
      <c r="B227" s="1" t="s">
        <v>271</v>
      </c>
      <c r="C227" s="1" t="s">
        <v>108</v>
      </c>
      <c r="D227" s="1" t="s">
        <v>67</v>
      </c>
      <c r="E227" s="6" t="str">
        <f>HYPERLINK("https://www.bioscidb.com/browse/deal_bg/3710","Link")</f>
        <v>Link</v>
      </c>
      <c r="F227" s="1" t="s">
        <v>45</v>
      </c>
      <c r="G227" s="16" t="s">
        <v>30</v>
      </c>
      <c r="H227" s="4">
        <v>225</v>
      </c>
      <c r="I227" s="4">
        <v>225</v>
      </c>
      <c r="J227" s="4" t="s">
        <v>14</v>
      </c>
      <c r="K227" s="20"/>
      <c r="L227" s="5" t="s">
        <v>14</v>
      </c>
      <c r="M227" s="4" t="s">
        <v>14</v>
      </c>
      <c r="N227" s="4"/>
      <c r="O227" s="4" t="s">
        <v>14</v>
      </c>
      <c r="P227" s="4"/>
      <c r="Q227" s="4" t="s">
        <v>14</v>
      </c>
      <c r="R227" s="4"/>
      <c r="S227" s="4" t="s">
        <v>14</v>
      </c>
      <c r="T227" s="4"/>
      <c r="U227" s="8"/>
      <c r="V227" s="4"/>
      <c r="W227" s="1" t="s">
        <v>14</v>
      </c>
      <c r="X227" s="1" t="s">
        <v>23</v>
      </c>
      <c r="Y227" s="1" t="s">
        <v>273</v>
      </c>
      <c r="Z227" s="1" t="s">
        <v>84</v>
      </c>
      <c r="AA227" s="1" t="s">
        <v>272</v>
      </c>
    </row>
    <row r="228" spans="1:27" ht="12.75">
      <c r="A228" s="3" t="s">
        <v>270</v>
      </c>
      <c r="B228" s="1" t="s">
        <v>356</v>
      </c>
      <c r="C228" s="1" t="s">
        <v>357</v>
      </c>
      <c r="D228" s="1" t="s">
        <v>90</v>
      </c>
      <c r="E228" s="6" t="str">
        <f>HYPERLINK("https://www.bioscidb.com/browse/deal_bg/5466","Link")</f>
        <v>Link</v>
      </c>
      <c r="F228" s="1" t="s">
        <v>69</v>
      </c>
      <c r="G228" s="16" t="s">
        <v>358</v>
      </c>
      <c r="H228" s="4">
        <v>427.5</v>
      </c>
      <c r="I228" s="4">
        <v>32.5</v>
      </c>
      <c r="J228" s="4" t="s">
        <v>14</v>
      </c>
      <c r="K228" s="20">
        <f>I228/H228</f>
        <v>0.07602339181286549</v>
      </c>
      <c r="L228" s="5" t="s">
        <v>14</v>
      </c>
      <c r="M228" s="4" t="s">
        <v>14</v>
      </c>
      <c r="N228" s="4"/>
      <c r="O228" s="4" t="s">
        <v>14</v>
      </c>
      <c r="P228" s="4"/>
      <c r="Q228" s="4" t="s">
        <v>14</v>
      </c>
      <c r="R228" s="4"/>
      <c r="S228" s="4" t="s">
        <v>14</v>
      </c>
      <c r="T228" s="4"/>
      <c r="U228" s="8"/>
      <c r="V228" s="4"/>
      <c r="W228" s="1" t="s">
        <v>14</v>
      </c>
      <c r="X228" s="1" t="s">
        <v>23</v>
      </c>
      <c r="Y228" s="1" t="s">
        <v>139</v>
      </c>
      <c r="Z228" s="1" t="s">
        <v>84</v>
      </c>
      <c r="AA228" s="1" t="s">
        <v>359</v>
      </c>
    </row>
    <row r="229" spans="1:27" ht="12.75">
      <c r="A229" s="3" t="s">
        <v>245</v>
      </c>
      <c r="B229" s="1" t="s">
        <v>274</v>
      </c>
      <c r="C229" s="1" t="s">
        <v>275</v>
      </c>
      <c r="D229" s="17" t="s">
        <v>43</v>
      </c>
      <c r="E229" s="6" t="str">
        <f>HYPERLINK("https://www.bioscidb.com/browse/deal_bg/7574","Link")</f>
        <v>Link</v>
      </c>
      <c r="F229" s="1" t="s">
        <v>27</v>
      </c>
      <c r="G229" s="16" t="s">
        <v>100</v>
      </c>
      <c r="H229" s="4">
        <v>135.5</v>
      </c>
      <c r="I229" s="4">
        <v>96.8</v>
      </c>
      <c r="J229" s="4" t="s">
        <v>14</v>
      </c>
      <c r="K229" s="20">
        <f>I229/H229</f>
        <v>0.7143911439114391</v>
      </c>
      <c r="L229" s="5" t="s">
        <v>19</v>
      </c>
      <c r="M229" s="4" t="s">
        <v>14</v>
      </c>
      <c r="N229" s="4"/>
      <c r="O229" s="4">
        <v>38.7</v>
      </c>
      <c r="P229" s="6" t="str">
        <f>HYPERLINK("https://www.bioscidb.com/tag/gettag/877e1060-4b01-4838-8f05-3e638a9ac9d4","Tag")</f>
        <v>Tag</v>
      </c>
      <c r="Q229" s="4" t="s">
        <v>14</v>
      </c>
      <c r="R229" s="4"/>
      <c r="S229" s="4" t="s">
        <v>14</v>
      </c>
      <c r="T229" s="6" t="str">
        <f>HYPERLINK("https://www.bioscidb.com/tag/gettag/776f03bc-2a22-43fe-85d2-2e86fb7b36c5","Tag")</f>
        <v>Tag</v>
      </c>
      <c r="U229" s="8">
        <v>3</v>
      </c>
      <c r="V229" s="6" t="str">
        <f>HYPERLINK("https://www.bioscidb.com/tag/gettag/81c000b4-bdf4-4595-b346-910877ce06c8","Tag")</f>
        <v>Tag</v>
      </c>
      <c r="W229" s="1" t="s">
        <v>14</v>
      </c>
      <c r="X229" s="1" t="s">
        <v>14</v>
      </c>
      <c r="Y229" s="1" t="s">
        <v>95</v>
      </c>
      <c r="Z229" s="1" t="s">
        <v>14</v>
      </c>
      <c r="AA229" s="1" t="s">
        <v>276</v>
      </c>
    </row>
    <row r="230" spans="1:27" ht="12.75">
      <c r="A230" s="3" t="s">
        <v>245</v>
      </c>
      <c r="B230" s="1" t="s">
        <v>246</v>
      </c>
      <c r="C230" s="1" t="s">
        <v>247</v>
      </c>
      <c r="D230" s="17" t="s">
        <v>90</v>
      </c>
      <c r="E230" s="6" t="str">
        <f>HYPERLINK("https://www.bioscidb.com/browse/deal_bg/4670","Link")</f>
        <v>Link</v>
      </c>
      <c r="F230" s="1" t="s">
        <v>45</v>
      </c>
      <c r="G230" s="16" t="s">
        <v>30</v>
      </c>
      <c r="H230" s="4">
        <v>115</v>
      </c>
      <c r="I230" s="4">
        <v>22</v>
      </c>
      <c r="J230" s="4" t="s">
        <v>14</v>
      </c>
      <c r="K230" s="20">
        <f>I230/H230</f>
        <v>0.19130434782608696</v>
      </c>
      <c r="L230" s="5" t="s">
        <v>14</v>
      </c>
      <c r="M230" s="4" t="s">
        <v>14</v>
      </c>
      <c r="N230" s="4"/>
      <c r="O230" s="4" t="s">
        <v>14</v>
      </c>
      <c r="P230" s="4"/>
      <c r="Q230" s="4" t="s">
        <v>14</v>
      </c>
      <c r="R230" s="4"/>
      <c r="S230" s="4" t="s">
        <v>14</v>
      </c>
      <c r="T230" s="4"/>
      <c r="U230" s="8"/>
      <c r="V230" s="4"/>
      <c r="W230" s="1" t="s">
        <v>14</v>
      </c>
      <c r="X230" s="1" t="s">
        <v>23</v>
      </c>
      <c r="Y230" s="1" t="s">
        <v>49</v>
      </c>
      <c r="Z230" s="1" t="s">
        <v>148</v>
      </c>
      <c r="AA230" s="1" t="s">
        <v>14</v>
      </c>
    </row>
    <row r="231" spans="1:27" ht="12.75">
      <c r="A231" s="3" t="s">
        <v>160</v>
      </c>
      <c r="B231" s="1" t="s">
        <v>161</v>
      </c>
      <c r="C231" s="1" t="s">
        <v>162</v>
      </c>
      <c r="D231" s="1" t="s">
        <v>159</v>
      </c>
      <c r="E231" s="6" t="str">
        <f>HYPERLINK("https://www.bioscidb.com/browse/deal_bg/3434","Link")</f>
        <v>Link</v>
      </c>
      <c r="F231" s="1" t="s">
        <v>69</v>
      </c>
      <c r="G231" s="16" t="s">
        <v>30</v>
      </c>
      <c r="H231" s="4">
        <v>380</v>
      </c>
      <c r="I231" s="4" t="s">
        <v>14</v>
      </c>
      <c r="J231" s="4" t="s">
        <v>14</v>
      </c>
      <c r="K231" s="20"/>
      <c r="L231" s="5" t="s">
        <v>14</v>
      </c>
      <c r="M231" s="4" t="s">
        <v>14</v>
      </c>
      <c r="N231" s="4"/>
      <c r="O231" s="4" t="s">
        <v>14</v>
      </c>
      <c r="P231" s="4"/>
      <c r="Q231" s="4" t="s">
        <v>14</v>
      </c>
      <c r="R231" s="4"/>
      <c r="S231" s="4" t="s">
        <v>14</v>
      </c>
      <c r="T231" s="4"/>
      <c r="U231" s="8"/>
      <c r="V231" s="4"/>
      <c r="W231" s="1" t="s">
        <v>14</v>
      </c>
      <c r="X231" s="1" t="s">
        <v>79</v>
      </c>
      <c r="Y231" s="1" t="s">
        <v>163</v>
      </c>
      <c r="Z231" s="1" t="s">
        <v>148</v>
      </c>
      <c r="AA231" s="1" t="s">
        <v>14</v>
      </c>
    </row>
    <row r="232" spans="1:27" ht="12.75">
      <c r="A232" s="3" t="s">
        <v>124</v>
      </c>
      <c r="B232" s="1" t="s">
        <v>309</v>
      </c>
      <c r="C232" s="1" t="s">
        <v>71</v>
      </c>
      <c r="D232" s="1" t="s">
        <v>56</v>
      </c>
      <c r="E232" s="6" t="str">
        <f>HYPERLINK("https://www.bioscidb.com/browse/deal_bg/965","Link")</f>
        <v>Link</v>
      </c>
      <c r="F232" s="1" t="s">
        <v>27</v>
      </c>
      <c r="G232" s="16" t="s">
        <v>310</v>
      </c>
      <c r="H232" s="4">
        <v>3550</v>
      </c>
      <c r="I232" s="4">
        <v>2900</v>
      </c>
      <c r="J232" s="4" t="s">
        <v>14</v>
      </c>
      <c r="K232" s="20">
        <f>I232/H232</f>
        <v>0.8169014084507042</v>
      </c>
      <c r="L232" s="5" t="s">
        <v>19</v>
      </c>
      <c r="M232" s="4" t="s">
        <v>14</v>
      </c>
      <c r="N232" s="4"/>
      <c r="O232" s="4">
        <v>650</v>
      </c>
      <c r="P232" s="6" t="str">
        <f>HYPERLINK("https://www.bioscidb.com/tag/gettag/f4a08ed7-a1a3-4a6d-8509-f45a5b76339f","Tag")</f>
        <v>Tag</v>
      </c>
      <c r="Q232" s="4" t="s">
        <v>14</v>
      </c>
      <c r="R232" s="4"/>
      <c r="S232" s="4">
        <v>10</v>
      </c>
      <c r="T232" s="6" t="str">
        <f>HYPERLINK("https://www.bioscidb.com/tag/gettag/14d54ab7-08d9-47c3-8e3a-c5383e9d1cac","Tag")</f>
        <v>Tag</v>
      </c>
      <c r="U232" s="8">
        <v>5</v>
      </c>
      <c r="V232" s="6" t="str">
        <f>HYPERLINK("https://www.bioscidb.com/tag/gettag/debd8cb9-29cb-4e06-b053-695398896f4a","Tag")</f>
        <v>Tag</v>
      </c>
      <c r="W232" s="1" t="s">
        <v>14</v>
      </c>
      <c r="X232" s="1" t="s">
        <v>23</v>
      </c>
      <c r="Y232" s="1" t="s">
        <v>55</v>
      </c>
      <c r="Z232" s="1" t="s">
        <v>14</v>
      </c>
      <c r="AA232" s="1" t="s">
        <v>311</v>
      </c>
    </row>
    <row r="233" spans="1:27" ht="12.75">
      <c r="A233" s="3" t="s">
        <v>124</v>
      </c>
      <c r="B233" s="1" t="s">
        <v>249</v>
      </c>
      <c r="C233" s="1" t="s">
        <v>108</v>
      </c>
      <c r="D233" s="1" t="s">
        <v>248</v>
      </c>
      <c r="E233" s="6" t="str">
        <f>HYPERLINK("https://www.bioscidb.com/browse/deal_bg/9333","Link")</f>
        <v>Link</v>
      </c>
      <c r="F233" s="1" t="s">
        <v>45</v>
      </c>
      <c r="G233" s="16" t="s">
        <v>30</v>
      </c>
      <c r="H233" s="4">
        <v>120</v>
      </c>
      <c r="I233" s="4">
        <v>91</v>
      </c>
      <c r="J233" s="4" t="s">
        <v>14</v>
      </c>
      <c r="K233" s="20">
        <f>I233/H233</f>
        <v>0.7583333333333333</v>
      </c>
      <c r="L233" s="5" t="s">
        <v>14</v>
      </c>
      <c r="M233" s="4">
        <v>29</v>
      </c>
      <c r="N233" s="4"/>
      <c r="O233" s="4" t="s">
        <v>14</v>
      </c>
      <c r="P233" s="4"/>
      <c r="Q233" s="4" t="s">
        <v>14</v>
      </c>
      <c r="R233" s="4"/>
      <c r="S233" s="4" t="s">
        <v>14</v>
      </c>
      <c r="T233" s="4"/>
      <c r="U233" s="8"/>
      <c r="V233" s="4"/>
      <c r="W233" s="1" t="s">
        <v>14</v>
      </c>
      <c r="X233" s="1" t="s">
        <v>23</v>
      </c>
      <c r="Y233" s="1" t="s">
        <v>203</v>
      </c>
      <c r="Z233" s="1" t="s">
        <v>22</v>
      </c>
      <c r="AA233" s="1" t="s">
        <v>250</v>
      </c>
    </row>
    <row r="234" spans="1:27" ht="12.75">
      <c r="A234" s="3" t="s">
        <v>124</v>
      </c>
      <c r="B234" s="1" t="s">
        <v>125</v>
      </c>
      <c r="C234" s="1" t="s">
        <v>126</v>
      </c>
      <c r="D234" s="1" t="s">
        <v>43</v>
      </c>
      <c r="E234" s="6" t="str">
        <f>HYPERLINK("https://www.bioscidb.com/browse/deal_bg/1719","Link")</f>
        <v>Link</v>
      </c>
      <c r="F234" s="1" t="s">
        <v>69</v>
      </c>
      <c r="G234" s="16" t="s">
        <v>30</v>
      </c>
      <c r="H234" s="4">
        <v>560</v>
      </c>
      <c r="I234" s="4">
        <v>75</v>
      </c>
      <c r="J234" s="4" t="s">
        <v>14</v>
      </c>
      <c r="K234" s="20">
        <f>I234/H234</f>
        <v>0.13392857142857142</v>
      </c>
      <c r="L234" s="5" t="s">
        <v>14</v>
      </c>
      <c r="M234" s="4" t="s">
        <v>14</v>
      </c>
      <c r="N234" s="4"/>
      <c r="O234" s="4" t="s">
        <v>14</v>
      </c>
      <c r="P234" s="4"/>
      <c r="Q234" s="4" t="s">
        <v>14</v>
      </c>
      <c r="R234" s="4"/>
      <c r="S234" s="4" t="s">
        <v>14</v>
      </c>
      <c r="T234" s="4"/>
      <c r="U234" s="8"/>
      <c r="V234" s="4"/>
      <c r="W234" s="1" t="s">
        <v>14</v>
      </c>
      <c r="X234" s="1" t="s">
        <v>79</v>
      </c>
      <c r="Y234" s="1" t="s">
        <v>123</v>
      </c>
      <c r="Z234" s="1" t="s">
        <v>22</v>
      </c>
      <c r="AA234" s="1" t="s">
        <v>14</v>
      </c>
    </row>
    <row r="235" spans="1:27" ht="12.75">
      <c r="A235" s="3" t="s">
        <v>959</v>
      </c>
      <c r="B235" s="1" t="s">
        <v>960</v>
      </c>
      <c r="C235" s="1" t="s">
        <v>247</v>
      </c>
      <c r="D235" s="17" t="s">
        <v>90</v>
      </c>
      <c r="E235" s="6" t="str">
        <f>HYPERLINK("https://www.bioscidb.com/browse/deal_bg/4662","Link")</f>
        <v>Link</v>
      </c>
      <c r="F235" s="1" t="s">
        <v>15</v>
      </c>
      <c r="G235" s="16" t="s">
        <v>30</v>
      </c>
      <c r="H235" s="4">
        <v>83</v>
      </c>
      <c r="I235" s="4">
        <v>15</v>
      </c>
      <c r="J235" s="4" t="s">
        <v>14</v>
      </c>
      <c r="K235" s="20">
        <f>I235/H235</f>
        <v>0.18072289156626506</v>
      </c>
      <c r="L235" s="5" t="s">
        <v>19</v>
      </c>
      <c r="M235" s="4">
        <v>57</v>
      </c>
      <c r="N235" s="6" t="str">
        <f>HYPERLINK("https://www.bioscidb.com/tag/gettag/ba6d519b-4a3b-4416-a6e9-2b5ad7342ae9","Tag")</f>
        <v>Tag</v>
      </c>
      <c r="O235" s="4">
        <v>11</v>
      </c>
      <c r="P235" s="6" t="str">
        <f>HYPERLINK("https://www.bioscidb.com/tag/gettag/daeab863-6eb5-43ab-a1d0-05149b8837f7","Tag")</f>
        <v>Tag</v>
      </c>
      <c r="Q235" s="4" t="s">
        <v>14</v>
      </c>
      <c r="R235" s="4"/>
      <c r="S235" s="4" t="s">
        <v>14</v>
      </c>
      <c r="T235" s="6" t="str">
        <f>HYPERLINK("https://www.bioscidb.com/tag/gettag/5f3530ea-fd10-4be6-b449-ee15404d88aa","Tag")</f>
        <v>Tag</v>
      </c>
      <c r="U235" s="8">
        <v>10</v>
      </c>
      <c r="V235" s="6" t="str">
        <f>HYPERLINK("https://www.bioscidb.com/tag/gettag/ceeff94b-abbb-413a-852c-8691021fd64c","Tag")</f>
        <v>Tag</v>
      </c>
      <c r="W235" s="1" t="s">
        <v>14</v>
      </c>
      <c r="X235" s="1" t="s">
        <v>23</v>
      </c>
      <c r="Y235" s="1" t="s">
        <v>55</v>
      </c>
      <c r="Z235" s="1" t="s">
        <v>22</v>
      </c>
      <c r="AA235" s="1" t="s">
        <v>961</v>
      </c>
    </row>
    <row r="236" spans="1:27" ht="12.75">
      <c r="A236" s="3"/>
      <c r="B236" s="1"/>
      <c r="C236" s="1"/>
      <c r="D236" s="17"/>
      <c r="E236" s="6"/>
      <c r="F236" s="1"/>
      <c r="G236" s="16"/>
      <c r="H236" s="4"/>
      <c r="I236" s="4"/>
      <c r="J236" s="4"/>
      <c r="K236" s="20"/>
      <c r="L236" s="5"/>
      <c r="M236" s="4"/>
      <c r="N236" s="6"/>
      <c r="O236" s="4"/>
      <c r="P236" s="6"/>
      <c r="Q236" s="4"/>
      <c r="R236" s="4"/>
      <c r="S236" s="4"/>
      <c r="T236" s="6"/>
      <c r="U236" s="8"/>
      <c r="V236" s="6"/>
      <c r="W236" s="1"/>
      <c r="X236" s="1"/>
      <c r="Y236" s="1"/>
      <c r="Z236" s="1"/>
      <c r="AA236" s="1"/>
    </row>
    <row r="237" spans="1:27" ht="12.75">
      <c r="A237" s="3"/>
      <c r="B237" s="1"/>
      <c r="C237" s="1"/>
      <c r="D237" s="17"/>
      <c r="E237" s="6"/>
      <c r="F237" s="1"/>
      <c r="G237" s="16"/>
      <c r="H237" s="4"/>
      <c r="I237" s="4"/>
      <c r="J237" s="4"/>
      <c r="K237" s="20"/>
      <c r="L237" s="5"/>
      <c r="M237" s="4"/>
      <c r="N237" s="6"/>
      <c r="O237" s="4"/>
      <c r="P237" s="6"/>
      <c r="Q237" s="4"/>
      <c r="R237" s="4"/>
      <c r="S237" s="4"/>
      <c r="T237" s="25" t="s">
        <v>1037</v>
      </c>
      <c r="U237" s="8">
        <f>AVERAGE(U185:U235)</f>
        <v>6.023076923076923</v>
      </c>
      <c r="V237" s="6"/>
      <c r="W237" s="1"/>
      <c r="X237" s="1"/>
      <c r="Y237" s="1"/>
      <c r="Z237" s="1"/>
      <c r="AA237" s="1"/>
    </row>
    <row r="238" spans="1:27" ht="12.75">
      <c r="A238" s="3"/>
      <c r="B238" s="1"/>
      <c r="C238" s="1"/>
      <c r="D238" s="17"/>
      <c r="E238" s="6"/>
      <c r="F238" s="1"/>
      <c r="G238" s="16"/>
      <c r="H238" s="4"/>
      <c r="I238" s="4"/>
      <c r="J238" s="4"/>
      <c r="K238" s="20"/>
      <c r="L238" s="5"/>
      <c r="M238" s="4"/>
      <c r="N238" s="6"/>
      <c r="O238" s="4"/>
      <c r="P238" s="6"/>
      <c r="Q238" s="4"/>
      <c r="R238" s="4"/>
      <c r="S238" s="4"/>
      <c r="T238" s="25" t="s">
        <v>1038</v>
      </c>
      <c r="U238" s="8">
        <f>MEDIAN(U185:U235)</f>
        <v>5</v>
      </c>
      <c r="V238" s="6"/>
      <c r="W238" s="1"/>
      <c r="X238" s="1"/>
      <c r="Y238" s="1"/>
      <c r="Z238" s="1"/>
      <c r="AA238" s="1"/>
    </row>
    <row r="239" spans="1:27" ht="12.75">
      <c r="A239" s="3"/>
      <c r="B239" s="1"/>
      <c r="C239" s="1"/>
      <c r="D239" s="17"/>
      <c r="E239" s="6"/>
      <c r="F239" s="1"/>
      <c r="G239" s="16"/>
      <c r="H239" s="4"/>
      <c r="I239" s="4"/>
      <c r="J239" s="4"/>
      <c r="K239" s="20"/>
      <c r="L239" s="5"/>
      <c r="M239" s="4"/>
      <c r="N239" s="6"/>
      <c r="O239" s="4"/>
      <c r="P239" s="6"/>
      <c r="Q239" s="4"/>
      <c r="R239" s="4"/>
      <c r="S239" s="4"/>
      <c r="T239" s="6"/>
      <c r="U239" s="8"/>
      <c r="V239" s="6"/>
      <c r="W239" s="1"/>
      <c r="X239" s="1"/>
      <c r="Y239" s="1"/>
      <c r="Z239" s="1"/>
      <c r="AA239" s="1"/>
    </row>
    <row r="240" spans="1:27" ht="12.75">
      <c r="A240" s="3" t="s">
        <v>685</v>
      </c>
      <c r="B240" s="1" t="s">
        <v>686</v>
      </c>
      <c r="C240" s="1" t="s">
        <v>242</v>
      </c>
      <c r="D240" s="1" t="s">
        <v>43</v>
      </c>
      <c r="E240" s="6" t="str">
        <f>HYPERLINK("https://www.bioscidb.com/browse/deal_bg/1809","Link")</f>
        <v>Link</v>
      </c>
      <c r="F240" s="1" t="s">
        <v>15</v>
      </c>
      <c r="G240" s="16" t="s">
        <v>30</v>
      </c>
      <c r="H240" s="4">
        <v>382.5</v>
      </c>
      <c r="I240" s="4">
        <v>92.5</v>
      </c>
      <c r="J240" s="4" t="s">
        <v>14</v>
      </c>
      <c r="K240" s="20">
        <f>I240/H240</f>
        <v>0.24183006535947713</v>
      </c>
      <c r="L240" s="5" t="s">
        <v>19</v>
      </c>
      <c r="M240" s="4" t="s">
        <v>14</v>
      </c>
      <c r="N240" s="6" t="str">
        <f>HYPERLINK("https://www.bioscidb.com/tag/gettag/00fdde63-bcdf-40de-bdd8-9627668cb22d","Tag")</f>
        <v>Tag</v>
      </c>
      <c r="O240" s="4" t="s">
        <v>14</v>
      </c>
      <c r="P240" s="6" t="str">
        <f>HYPERLINK("https://www.bioscidb.com/tag/gettag/00fdde63-bcdf-40de-bdd8-9627668cb22d","Tag")</f>
        <v>Tag</v>
      </c>
      <c r="Q240" s="4">
        <v>80</v>
      </c>
      <c r="R240" s="6" t="str">
        <f>HYPERLINK("https://www.bioscidb.com/tag/gettag/df3c03ac-b0e1-4bf8-b365-eb73ef21d9de","Tag")</f>
        <v>Tag</v>
      </c>
      <c r="S240" s="4" t="s">
        <v>14</v>
      </c>
      <c r="T240" s="6" t="str">
        <f>HYPERLINK("https://www.bioscidb.com/tag/gettag/5d26ae6c-710c-4b41-a8b6-e179ab597bbc","Tag")</f>
        <v>Tag</v>
      </c>
      <c r="U240" s="8"/>
      <c r="V240" s="6" t="str">
        <f>HYPERLINK("https://www.bioscidb.com/tag/gettag/bcf87c23-948e-41b4-bdee-8e6a6e8071e6","Tag")</f>
        <v>Tag</v>
      </c>
      <c r="W240" s="1" t="s">
        <v>14</v>
      </c>
      <c r="X240" s="1" t="s">
        <v>79</v>
      </c>
      <c r="Y240" s="1" t="s">
        <v>83</v>
      </c>
      <c r="Z240" s="1" t="s">
        <v>22</v>
      </c>
      <c r="AA240" s="1" t="s">
        <v>687</v>
      </c>
    </row>
    <row r="241" spans="1:27" ht="25.5">
      <c r="A241" s="3" t="s">
        <v>312</v>
      </c>
      <c r="B241" s="1" t="s">
        <v>313</v>
      </c>
      <c r="C241" s="1" t="s">
        <v>314</v>
      </c>
      <c r="D241" s="17" t="s">
        <v>56</v>
      </c>
      <c r="E241" s="6" t="str">
        <f>HYPERLINK("https://www.bioscidb.com/browse/deal_bg/5362","Link")</f>
        <v>Link</v>
      </c>
      <c r="F241" s="1" t="s">
        <v>27</v>
      </c>
      <c r="G241" s="16" t="s">
        <v>315</v>
      </c>
      <c r="H241" s="4">
        <v>327</v>
      </c>
      <c r="I241" s="4">
        <v>300</v>
      </c>
      <c r="J241" s="4" t="s">
        <v>14</v>
      </c>
      <c r="K241" s="20">
        <f>I241/H241</f>
        <v>0.9174311926605505</v>
      </c>
      <c r="L241" s="5" t="s">
        <v>19</v>
      </c>
      <c r="M241" s="4" t="s">
        <v>14</v>
      </c>
      <c r="N241" s="4"/>
      <c r="O241" s="4">
        <v>27</v>
      </c>
      <c r="P241" s="6" t="str">
        <f>HYPERLINK("https://www.bioscidb.com/tag/gettag/b109a3e6-fa01-43f6-877b-ea965841076e","Tag")</f>
        <v>Tag</v>
      </c>
      <c r="Q241" s="4" t="s">
        <v>14</v>
      </c>
      <c r="R241" s="4"/>
      <c r="S241" s="4">
        <v>10</v>
      </c>
      <c r="T241" s="6" t="str">
        <f>HYPERLINK("https://www.bioscidb.com/tag/gettag/3276595a-eaa7-4eef-9576-33160b648f5c","Tag")</f>
        <v>Tag</v>
      </c>
      <c r="U241" s="8"/>
      <c r="V241" s="4"/>
      <c r="W241" s="1" t="s">
        <v>14</v>
      </c>
      <c r="X241" s="1" t="s">
        <v>14</v>
      </c>
      <c r="Y241" s="1" t="s">
        <v>317</v>
      </c>
      <c r="Z241" s="1" t="s">
        <v>318</v>
      </c>
      <c r="AA241" s="1" t="s">
        <v>316</v>
      </c>
    </row>
    <row r="242" spans="1:27" ht="12.75">
      <c r="A242" s="3" t="s">
        <v>34</v>
      </c>
      <c r="B242" s="1" t="s">
        <v>928</v>
      </c>
      <c r="C242" s="1" t="s">
        <v>247</v>
      </c>
      <c r="D242" s="1" t="s">
        <v>159</v>
      </c>
      <c r="E242" s="6" t="str">
        <f>HYPERLINK("https://www.bioscidb.com/browse/deal_bg/4661","Link")</f>
        <v>Link</v>
      </c>
      <c r="F242" s="1" t="s">
        <v>15</v>
      </c>
      <c r="G242" s="16" t="s">
        <v>30</v>
      </c>
      <c r="H242" s="4">
        <v>56.85</v>
      </c>
      <c r="I242" s="4">
        <v>15</v>
      </c>
      <c r="J242" s="4" t="s">
        <v>14</v>
      </c>
      <c r="K242" s="20">
        <f>I242/H242</f>
        <v>0.2638522427440633</v>
      </c>
      <c r="L242" s="5" t="s">
        <v>19</v>
      </c>
      <c r="M242" s="4">
        <v>25.35</v>
      </c>
      <c r="N242" s="6" t="str">
        <f>HYPERLINK("https://www.bioscidb.com/tag/gettag/7a386b98-cfbb-4139-b252-f5b5730dad49","Tag")</f>
        <v>Tag</v>
      </c>
      <c r="O242" s="4" t="s">
        <v>14</v>
      </c>
      <c r="P242" s="4"/>
      <c r="Q242" s="4">
        <v>16.5</v>
      </c>
      <c r="R242" s="6" t="str">
        <f>HYPERLINK("https://www.bioscidb.com/tag/gettag/66ba81f1-0ec8-4041-a4fc-bc73a3184dec","Tag")</f>
        <v>Tag</v>
      </c>
      <c r="S242" s="4" t="s">
        <v>14</v>
      </c>
      <c r="T242" s="6" t="str">
        <f>HYPERLINK("https://www.bioscidb.com/tag/gettag/1b5c934a-2f10-4eed-ab70-18afc03f1ad2","Tag")</f>
        <v>Tag</v>
      </c>
      <c r="U242" s="8">
        <v>6.5</v>
      </c>
      <c r="V242" s="6" t="str">
        <f>HYPERLINK("https://www.bioscidb.com/tag/gettag/13a5b74e-96e3-402e-b957-fc3cd8155c7d","Tag")</f>
        <v>Tag</v>
      </c>
      <c r="W242" s="1" t="s">
        <v>14</v>
      </c>
      <c r="X242" s="1" t="s">
        <v>23</v>
      </c>
      <c r="Y242" s="1" t="s">
        <v>203</v>
      </c>
      <c r="Z242" s="1" t="s">
        <v>22</v>
      </c>
      <c r="AA242" s="1" t="s">
        <v>929</v>
      </c>
    </row>
    <row r="243" spans="1:27" ht="12.75">
      <c r="A243" s="3" t="s">
        <v>34</v>
      </c>
      <c r="B243" s="1" t="s">
        <v>35</v>
      </c>
      <c r="C243" s="1" t="s">
        <v>29</v>
      </c>
      <c r="D243" s="17" t="s">
        <v>986</v>
      </c>
      <c r="E243" s="6" t="str">
        <f>HYPERLINK("https://www.bioscidb.com/browse/deal_bg/292","Link")</f>
        <v>Link</v>
      </c>
      <c r="F243" s="1" t="s">
        <v>27</v>
      </c>
      <c r="G243" s="16" t="s">
        <v>30</v>
      </c>
      <c r="H243" s="4">
        <v>15.9</v>
      </c>
      <c r="I243" s="4" t="s">
        <v>14</v>
      </c>
      <c r="J243" s="4" t="s">
        <v>14</v>
      </c>
      <c r="K243" s="20"/>
      <c r="L243" s="5" t="s">
        <v>14</v>
      </c>
      <c r="M243" s="4" t="s">
        <v>14</v>
      </c>
      <c r="N243" s="4"/>
      <c r="O243" s="4">
        <v>12</v>
      </c>
      <c r="P243" s="4"/>
      <c r="Q243" s="4" t="s">
        <v>14</v>
      </c>
      <c r="R243" s="4"/>
      <c r="S243" s="4" t="s">
        <v>14</v>
      </c>
      <c r="T243" s="4"/>
      <c r="U243" s="8"/>
      <c r="V243" s="4"/>
      <c r="W243" s="1" t="s">
        <v>14</v>
      </c>
      <c r="X243" s="1" t="s">
        <v>14</v>
      </c>
      <c r="Y243" s="1" t="s">
        <v>14</v>
      </c>
      <c r="Z243" s="1" t="s">
        <v>14</v>
      </c>
      <c r="AA243" s="1" t="s">
        <v>14</v>
      </c>
    </row>
    <row r="244" spans="1:27" ht="12.75">
      <c r="A244" s="3" t="s">
        <v>34</v>
      </c>
      <c r="B244" s="1" t="s">
        <v>406</v>
      </c>
      <c r="C244" s="1" t="s">
        <v>407</v>
      </c>
      <c r="D244" s="1" t="s">
        <v>43</v>
      </c>
      <c r="E244" s="6" t="str">
        <f>HYPERLINK("https://www.bioscidb.com/browse/deal_bg/2219","Link")</f>
        <v>Link</v>
      </c>
      <c r="F244" s="1" t="s">
        <v>15</v>
      </c>
      <c r="G244" s="16" t="s">
        <v>30</v>
      </c>
      <c r="H244" s="4">
        <v>851</v>
      </c>
      <c r="I244" s="4">
        <v>276</v>
      </c>
      <c r="J244" s="4" t="s">
        <v>14</v>
      </c>
      <c r="K244" s="20">
        <f>I244/H244</f>
        <v>0.32432432432432434</v>
      </c>
      <c r="L244" s="5" t="s">
        <v>19</v>
      </c>
      <c r="M244" s="4">
        <v>275</v>
      </c>
      <c r="N244" s="6" t="str">
        <f>HYPERLINK("https://www.bioscidb.com/tag/gettag/65ecba52-9af7-4a86-82a6-eb21a0b80c72","Tag")</f>
        <v>Tag</v>
      </c>
      <c r="O244" s="4">
        <v>300</v>
      </c>
      <c r="P244" s="6" t="str">
        <f>HYPERLINK("https://www.bioscidb.com/tag/gettag/eeeae234-5e31-4cc2-a87d-519cabf40b34","Tag")</f>
        <v>Tag</v>
      </c>
      <c r="Q244" s="4" t="s">
        <v>14</v>
      </c>
      <c r="R244" s="4"/>
      <c r="S244" s="4" t="s">
        <v>14</v>
      </c>
      <c r="T244" s="6" t="str">
        <f>HYPERLINK("https://www.bioscidb.com/tag/gettag/13e7e7b9-ea64-4ef4-9db9-b5423b53cb00","Tag")</f>
        <v>Tag</v>
      </c>
      <c r="U244" s="9">
        <v>6.5</v>
      </c>
      <c r="V244" s="6" t="str">
        <f>HYPERLINK("https://www.bioscidb.com/tag/gettag/066e68b3-2aa6-434d-a34f-c3c56ea3a190","Tag")</f>
        <v>Tag</v>
      </c>
      <c r="W244" s="1" t="s">
        <v>14</v>
      </c>
      <c r="X244" s="1" t="s">
        <v>23</v>
      </c>
      <c r="Y244" s="1" t="s">
        <v>55</v>
      </c>
      <c r="Z244" s="1" t="s">
        <v>22</v>
      </c>
      <c r="AA244" s="1" t="s">
        <v>408</v>
      </c>
    </row>
    <row r="245" spans="1:27" ht="25.5">
      <c r="A245" s="3" t="s">
        <v>36</v>
      </c>
      <c r="B245" s="1" t="s">
        <v>212</v>
      </c>
      <c r="C245" s="1" t="s">
        <v>213</v>
      </c>
      <c r="D245" s="1" t="s">
        <v>43</v>
      </c>
      <c r="E245" s="6" t="str">
        <f>HYPERLINK("https://www.bioscidb.com/browse/deal_bg/6013","Link")</f>
        <v>Link</v>
      </c>
      <c r="F245" s="1" t="s">
        <v>27</v>
      </c>
      <c r="G245" s="16" t="s">
        <v>214</v>
      </c>
      <c r="H245" s="4">
        <v>37</v>
      </c>
      <c r="I245" s="4" t="s">
        <v>14</v>
      </c>
      <c r="J245" s="4" t="s">
        <v>14</v>
      </c>
      <c r="K245" s="20"/>
      <c r="L245" s="5" t="s">
        <v>14</v>
      </c>
      <c r="M245" s="4" t="s">
        <v>14</v>
      </c>
      <c r="N245" s="4"/>
      <c r="O245" s="4" t="s">
        <v>14</v>
      </c>
      <c r="P245" s="4"/>
      <c r="Q245" s="4" t="s">
        <v>14</v>
      </c>
      <c r="R245" s="4"/>
      <c r="S245" s="4" t="s">
        <v>14</v>
      </c>
      <c r="T245" s="4"/>
      <c r="U245" s="8"/>
      <c r="V245" s="4"/>
      <c r="W245" s="1" t="s">
        <v>14</v>
      </c>
      <c r="X245" s="1" t="s">
        <v>14</v>
      </c>
      <c r="Y245" s="1" t="s">
        <v>139</v>
      </c>
      <c r="Z245" s="1" t="s">
        <v>22</v>
      </c>
      <c r="AA245" s="1" t="s">
        <v>14</v>
      </c>
    </row>
    <row r="246" spans="1:27" ht="12.75">
      <c r="A246" s="3" t="s">
        <v>36</v>
      </c>
      <c r="B246" s="1" t="s">
        <v>37</v>
      </c>
      <c r="C246" s="1" t="s">
        <v>29</v>
      </c>
      <c r="D246" s="17" t="s">
        <v>986</v>
      </c>
      <c r="E246" s="6" t="str">
        <f>HYPERLINK("https://www.bioscidb.com/browse/deal_bg/293","Link")</f>
        <v>Link</v>
      </c>
      <c r="F246" s="1" t="s">
        <v>27</v>
      </c>
      <c r="G246" s="16" t="s">
        <v>38</v>
      </c>
      <c r="H246" s="4">
        <v>18.6</v>
      </c>
      <c r="I246" s="4" t="s">
        <v>14</v>
      </c>
      <c r="J246" s="4" t="s">
        <v>14</v>
      </c>
      <c r="K246" s="20"/>
      <c r="L246" s="5" t="s">
        <v>14</v>
      </c>
      <c r="M246" s="4" t="s">
        <v>14</v>
      </c>
      <c r="N246" s="4"/>
      <c r="O246" s="4" t="s">
        <v>14</v>
      </c>
      <c r="P246" s="4"/>
      <c r="Q246" s="4" t="s">
        <v>14</v>
      </c>
      <c r="R246" s="4"/>
      <c r="S246" s="4" t="s">
        <v>14</v>
      </c>
      <c r="T246" s="4"/>
      <c r="U246" s="8"/>
      <c r="V246" s="4"/>
      <c r="W246" s="1" t="s">
        <v>14</v>
      </c>
      <c r="X246" s="1" t="s">
        <v>14</v>
      </c>
      <c r="Y246" s="1" t="s">
        <v>14</v>
      </c>
      <c r="Z246" s="1" t="s">
        <v>14</v>
      </c>
      <c r="AA246" s="1" t="s">
        <v>14</v>
      </c>
    </row>
    <row r="247" spans="1:27" ht="25.5">
      <c r="A247" s="3" t="s">
        <v>947</v>
      </c>
      <c r="B247" s="1" t="s">
        <v>948</v>
      </c>
      <c r="C247" s="1" t="s">
        <v>949</v>
      </c>
      <c r="D247" s="1" t="s">
        <v>56</v>
      </c>
      <c r="E247" s="6" t="str">
        <f>HYPERLINK("https://www.bioscidb.com/browse/deal_bg/6320","Link")</f>
        <v>Link</v>
      </c>
      <c r="F247" s="1" t="s">
        <v>15</v>
      </c>
      <c r="G247" s="16" t="s">
        <v>950</v>
      </c>
      <c r="H247" s="4">
        <v>1</v>
      </c>
      <c r="I247" s="4">
        <v>1</v>
      </c>
      <c r="J247" s="4" t="s">
        <v>14</v>
      </c>
      <c r="K247" s="20">
        <f>I247/H247</f>
        <v>1</v>
      </c>
      <c r="L247" s="5" t="s">
        <v>14</v>
      </c>
      <c r="M247" s="4" t="s">
        <v>14</v>
      </c>
      <c r="N247" s="4"/>
      <c r="O247" s="4" t="s">
        <v>14</v>
      </c>
      <c r="P247" s="4"/>
      <c r="Q247" s="4" t="s">
        <v>14</v>
      </c>
      <c r="R247" s="4"/>
      <c r="S247" s="4">
        <v>45</v>
      </c>
      <c r="T247" s="4"/>
      <c r="U247" s="8"/>
      <c r="V247" s="4"/>
      <c r="W247" s="1" t="s">
        <v>66</v>
      </c>
      <c r="X247" s="1" t="s">
        <v>14</v>
      </c>
      <c r="Y247" s="1" t="s">
        <v>266</v>
      </c>
      <c r="Z247" s="1" t="s">
        <v>178</v>
      </c>
      <c r="AA247" s="1" t="s">
        <v>951</v>
      </c>
    </row>
    <row r="248" spans="1:27" ht="12.75">
      <c r="A248" s="3" t="s">
        <v>909</v>
      </c>
      <c r="B248" s="1" t="s">
        <v>910</v>
      </c>
      <c r="C248" s="1" t="s">
        <v>911</v>
      </c>
      <c r="D248" s="17" t="s">
        <v>159</v>
      </c>
      <c r="E248" s="6" t="str">
        <f>HYPERLINK("https://www.bioscidb.com/browse/deal_bg/1202","Link")</f>
        <v>Link</v>
      </c>
      <c r="F248" s="1" t="s">
        <v>15</v>
      </c>
      <c r="G248" s="16" t="s">
        <v>912</v>
      </c>
      <c r="H248" s="4">
        <v>71</v>
      </c>
      <c r="I248" s="4">
        <v>10</v>
      </c>
      <c r="J248" s="4" t="s">
        <v>14</v>
      </c>
      <c r="K248" s="20">
        <f>I248/H248</f>
        <v>0.14084507042253522</v>
      </c>
      <c r="L248" s="5" t="s">
        <v>19</v>
      </c>
      <c r="M248" s="4">
        <v>45</v>
      </c>
      <c r="N248" s="6" t="str">
        <f>HYPERLINK("https://www.bioscidb.com/tag/gettag/f72f74c8-19b2-47be-8cc1-818b071722fc","Tag")</f>
        <v>Tag</v>
      </c>
      <c r="O248" s="4" t="s">
        <v>14</v>
      </c>
      <c r="P248" s="4"/>
      <c r="Q248" s="4" t="s">
        <v>14</v>
      </c>
      <c r="R248" s="4"/>
      <c r="S248" s="4">
        <v>9</v>
      </c>
      <c r="T248" s="6" t="str">
        <f>HYPERLINK("https://www.bioscidb.com/tag/gettag/514b7d3f-1dab-4cf8-ad5e-062f99496e22","Tag")</f>
        <v>Tag</v>
      </c>
      <c r="U248" s="8"/>
      <c r="V248" s="4"/>
      <c r="W248" s="1" t="s">
        <v>14</v>
      </c>
      <c r="X248" s="1" t="s">
        <v>66</v>
      </c>
      <c r="Y248" s="1" t="s">
        <v>139</v>
      </c>
      <c r="Z248" s="1" t="s">
        <v>89</v>
      </c>
      <c r="AA248" s="1" t="s">
        <v>913</v>
      </c>
    </row>
    <row r="249" spans="1:27" ht="25.5">
      <c r="A249" s="3" t="s">
        <v>943</v>
      </c>
      <c r="B249" s="1" t="s">
        <v>944</v>
      </c>
      <c r="C249" s="1" t="s">
        <v>475</v>
      </c>
      <c r="D249" s="1" t="s">
        <v>43</v>
      </c>
      <c r="E249" s="6" t="str">
        <f>HYPERLINK("https://www.bioscidb.com/browse/deal_bg/15909","Link")</f>
        <v>Link</v>
      </c>
      <c r="F249" s="1" t="s">
        <v>15</v>
      </c>
      <c r="G249" s="16" t="s">
        <v>945</v>
      </c>
      <c r="H249" s="4">
        <v>295</v>
      </c>
      <c r="I249" s="4">
        <v>75</v>
      </c>
      <c r="J249" s="4" t="s">
        <v>14</v>
      </c>
      <c r="K249" s="20">
        <f>I249/H249</f>
        <v>0.2542372881355932</v>
      </c>
      <c r="L249" s="5" t="s">
        <v>19</v>
      </c>
      <c r="M249" s="4">
        <v>120</v>
      </c>
      <c r="N249" s="6" t="str">
        <f>HYPERLINK("https://www.bioscidb.com/tag/gettag/5708e99a-0b85-4674-b846-d9faeb3259a2","Tag")</f>
        <v>Tag</v>
      </c>
      <c r="O249" s="4" t="s">
        <v>14</v>
      </c>
      <c r="P249" s="4"/>
      <c r="Q249" s="4">
        <v>100</v>
      </c>
      <c r="R249" s="6" t="str">
        <f>HYPERLINK("https://www.bioscidb.com/tag/gettag/366fddfe-62cd-470f-bb8a-e9c458d0d0b7","Tag")</f>
        <v>Tag</v>
      </c>
      <c r="S249" s="4">
        <v>13.55</v>
      </c>
      <c r="T249" s="6" t="str">
        <f>HYPERLINK("https://www.bioscidb.com/tag/gettag/8ddc655c-b675-481d-86d5-2319e6c969b3","Tag")</f>
        <v>Tag</v>
      </c>
      <c r="U249" s="8"/>
      <c r="V249" s="4"/>
      <c r="W249" s="1" t="s">
        <v>14</v>
      </c>
      <c r="X249" s="1" t="s">
        <v>79</v>
      </c>
      <c r="Y249" s="1" t="s">
        <v>266</v>
      </c>
      <c r="Z249" s="1" t="s">
        <v>22</v>
      </c>
      <c r="AA249" s="1" t="s">
        <v>946</v>
      </c>
    </row>
    <row r="250" spans="1:27" ht="12.75">
      <c r="A250" s="3" t="s">
        <v>306</v>
      </c>
      <c r="B250" s="1" t="s">
        <v>307</v>
      </c>
      <c r="C250" s="1" t="s">
        <v>138</v>
      </c>
      <c r="D250" s="17" t="s">
        <v>56</v>
      </c>
      <c r="E250" s="6" t="str">
        <f>HYPERLINK("https://www.bioscidb.com/browse/deal_bg/8385","Link")</f>
        <v>Link</v>
      </c>
      <c r="F250" s="1" t="s">
        <v>27</v>
      </c>
      <c r="G250" s="16" t="s">
        <v>182</v>
      </c>
      <c r="H250" s="4">
        <v>637</v>
      </c>
      <c r="I250" s="4">
        <v>370</v>
      </c>
      <c r="J250" s="4" t="s">
        <v>14</v>
      </c>
      <c r="K250" s="20">
        <f>I250/H250</f>
        <v>0.5808477237048666</v>
      </c>
      <c r="L250" s="5" t="s">
        <v>19</v>
      </c>
      <c r="M250" s="4" t="s">
        <v>14</v>
      </c>
      <c r="N250" s="4"/>
      <c r="O250" s="4">
        <v>267</v>
      </c>
      <c r="P250" s="4"/>
      <c r="Q250" s="4">
        <v>89</v>
      </c>
      <c r="R250" s="4"/>
      <c r="S250" s="4" t="s">
        <v>14</v>
      </c>
      <c r="T250" s="6" t="str">
        <f>HYPERLINK("https://www.bioscidb.com/tag/gettag/e281c795-7e0f-4ec6-b313-3077f3c7b0e2","Tag")</f>
        <v>Tag</v>
      </c>
      <c r="U250" s="8"/>
      <c r="V250" s="4"/>
      <c r="W250" s="1" t="s">
        <v>14</v>
      </c>
      <c r="X250" s="1" t="s">
        <v>14</v>
      </c>
      <c r="Y250" s="1" t="s">
        <v>49</v>
      </c>
      <c r="Z250" s="1" t="s">
        <v>14</v>
      </c>
      <c r="AA250" s="1" t="s">
        <v>308</v>
      </c>
    </row>
    <row r="251" spans="1:27" ht="12.75">
      <c r="A251" s="3" t="s">
        <v>42</v>
      </c>
      <c r="B251" s="1" t="s">
        <v>808</v>
      </c>
      <c r="C251" s="1" t="s">
        <v>466</v>
      </c>
      <c r="D251" s="1" t="s">
        <v>56</v>
      </c>
      <c r="E251" s="6" t="str">
        <f>HYPERLINK("https://www.bioscidb.com/browse/deal_bg/14415","Link")</f>
        <v>Link</v>
      </c>
      <c r="F251" s="1" t="s">
        <v>15</v>
      </c>
      <c r="G251" s="16" t="s">
        <v>30</v>
      </c>
      <c r="H251" s="4">
        <v>525</v>
      </c>
      <c r="I251" s="4">
        <v>285</v>
      </c>
      <c r="J251" s="4" t="s">
        <v>14</v>
      </c>
      <c r="K251" s="20">
        <f>I251/H251</f>
        <v>0.5428571428571428</v>
      </c>
      <c r="L251" s="5" t="s">
        <v>19</v>
      </c>
      <c r="M251" s="4" t="s">
        <v>14</v>
      </c>
      <c r="N251" s="4"/>
      <c r="O251" s="4">
        <v>120</v>
      </c>
      <c r="P251" s="6" t="str">
        <f>HYPERLINK("https://www.bioscidb.com/tag/gettag/db35e93f-0d4a-4654-acb8-d82f165993eb","Tag")</f>
        <v>Tag</v>
      </c>
      <c r="Q251" s="4">
        <v>120</v>
      </c>
      <c r="R251" s="6" t="str">
        <f>HYPERLINK("https://www.bioscidb.com/tag/gettag/23de8c6e-3fe1-40d0-ab6a-6ebca86b72e6","Tag")</f>
        <v>Tag</v>
      </c>
      <c r="S251" s="4" t="s">
        <v>14</v>
      </c>
      <c r="T251" s="6" t="str">
        <f>HYPERLINK("https://www.bioscidb.com/tag/gettag/f0d873f6-9087-4919-9cb2-756f54ca2e37","Tag")</f>
        <v>Tag</v>
      </c>
      <c r="U251" s="8"/>
      <c r="V251" s="4"/>
      <c r="W251" s="1" t="s">
        <v>14</v>
      </c>
      <c r="X251" s="1" t="s">
        <v>66</v>
      </c>
      <c r="Y251" s="1" t="s">
        <v>14</v>
      </c>
      <c r="Z251" s="1" t="s">
        <v>14</v>
      </c>
      <c r="AA251" s="1" t="s">
        <v>809</v>
      </c>
    </row>
    <row r="252" spans="1:27" ht="25.5">
      <c r="A252" s="3" t="s">
        <v>228</v>
      </c>
      <c r="B252" s="1" t="s">
        <v>220</v>
      </c>
      <c r="C252" s="1" t="s">
        <v>170</v>
      </c>
      <c r="D252" s="17" t="s">
        <v>56</v>
      </c>
      <c r="E252" s="6" t="str">
        <f>HYPERLINK("https://www.bioscidb.com/browse/deal_bg/1716","Link")</f>
        <v>Link</v>
      </c>
      <c r="F252" s="1" t="s">
        <v>15</v>
      </c>
      <c r="G252" s="16" t="s">
        <v>229</v>
      </c>
      <c r="H252" s="4">
        <v>30</v>
      </c>
      <c r="I252" s="4">
        <v>15</v>
      </c>
      <c r="J252" s="4" t="s">
        <v>14</v>
      </c>
      <c r="K252" s="20">
        <f>I252/H252</f>
        <v>0.5</v>
      </c>
      <c r="L252" s="5" t="s">
        <v>19</v>
      </c>
      <c r="M252" s="4" t="s">
        <v>14</v>
      </c>
      <c r="N252" s="4"/>
      <c r="O252" s="4" t="s">
        <v>14</v>
      </c>
      <c r="P252" s="4"/>
      <c r="Q252" s="4">
        <v>15</v>
      </c>
      <c r="R252" s="6" t="str">
        <f>HYPERLINK("https://www.bioscidb.com/tag/gettag/34947b0a-c642-4b52-b81b-2d2143f28001","Tag")</f>
        <v>Tag</v>
      </c>
      <c r="S252" s="4" t="s">
        <v>14</v>
      </c>
      <c r="T252" s="4"/>
      <c r="U252" s="8"/>
      <c r="V252" s="4"/>
      <c r="W252" s="1" t="s">
        <v>14</v>
      </c>
      <c r="X252" s="1" t="s">
        <v>14</v>
      </c>
      <c r="Y252" s="1" t="s">
        <v>55</v>
      </c>
      <c r="Z252" s="1" t="s">
        <v>84</v>
      </c>
      <c r="AA252" s="1" t="s">
        <v>230</v>
      </c>
    </row>
    <row r="253" spans="1:27" ht="12.75">
      <c r="A253" s="3" t="s">
        <v>277</v>
      </c>
      <c r="B253" s="1" t="s">
        <v>278</v>
      </c>
      <c r="C253" s="1" t="s">
        <v>279</v>
      </c>
      <c r="D253" s="17" t="s">
        <v>986</v>
      </c>
      <c r="E253" s="6" t="str">
        <f>HYPERLINK("https://www.bioscidb.com/browse/deal_bg/11049","Link")</f>
        <v>Link</v>
      </c>
      <c r="F253" s="1" t="s">
        <v>27</v>
      </c>
      <c r="G253" s="16" t="s">
        <v>206</v>
      </c>
      <c r="H253" s="4">
        <v>10</v>
      </c>
      <c r="I253" s="4" t="s">
        <v>14</v>
      </c>
      <c r="J253" s="4" t="s">
        <v>14</v>
      </c>
      <c r="K253" s="20"/>
      <c r="L253" s="5" t="s">
        <v>14</v>
      </c>
      <c r="M253" s="4" t="s">
        <v>14</v>
      </c>
      <c r="N253" s="4"/>
      <c r="O253" s="4" t="s">
        <v>14</v>
      </c>
      <c r="P253" s="4"/>
      <c r="Q253" s="4" t="s">
        <v>14</v>
      </c>
      <c r="R253" s="4"/>
      <c r="S253" s="4" t="s">
        <v>14</v>
      </c>
      <c r="T253" s="4"/>
      <c r="U253" s="8"/>
      <c r="V253" s="4"/>
      <c r="W253" s="1" t="s">
        <v>14</v>
      </c>
      <c r="X253" s="1" t="s">
        <v>14</v>
      </c>
      <c r="Y253" s="1" t="s">
        <v>14</v>
      </c>
      <c r="Z253" s="1" t="s">
        <v>14</v>
      </c>
      <c r="AA253" s="1" t="s">
        <v>14</v>
      </c>
    </row>
    <row r="254" spans="1:27" ht="12.75">
      <c r="A254" s="3" t="s">
        <v>277</v>
      </c>
      <c r="B254" s="1" t="s">
        <v>833</v>
      </c>
      <c r="C254" s="1" t="s">
        <v>120</v>
      </c>
      <c r="D254" s="1" t="s">
        <v>25</v>
      </c>
      <c r="E254" s="6" t="str">
        <f>HYPERLINK("https://www.bioscidb.com/browse/deal_bg/1753","Link")</f>
        <v>Link</v>
      </c>
      <c r="F254" s="1" t="s">
        <v>15</v>
      </c>
      <c r="G254" s="16" t="s">
        <v>834</v>
      </c>
      <c r="H254" s="4">
        <v>115</v>
      </c>
      <c r="I254" s="4">
        <v>115</v>
      </c>
      <c r="J254" s="4" t="s">
        <v>14</v>
      </c>
      <c r="K254" s="20"/>
      <c r="L254" s="5" t="s">
        <v>19</v>
      </c>
      <c r="M254" s="4" t="s">
        <v>14</v>
      </c>
      <c r="N254" s="4"/>
      <c r="O254" s="4" t="s">
        <v>14</v>
      </c>
      <c r="P254" s="6" t="str">
        <f>HYPERLINK("https://www.bioscidb.com/tag/gettag/ee0ec1e2-6588-4e0b-9890-1dc5a29fd42b","Tag")</f>
        <v>Tag</v>
      </c>
      <c r="Q254" s="4" t="s">
        <v>14</v>
      </c>
      <c r="R254" s="4"/>
      <c r="S254" s="4" t="s">
        <v>14</v>
      </c>
      <c r="T254" s="4"/>
      <c r="U254" s="8"/>
      <c r="V254" s="4"/>
      <c r="W254" s="1" t="s">
        <v>14</v>
      </c>
      <c r="X254" s="1" t="s">
        <v>79</v>
      </c>
      <c r="Y254" s="1" t="s">
        <v>346</v>
      </c>
      <c r="Z254" s="1" t="s">
        <v>32</v>
      </c>
      <c r="AA254" s="1" t="s">
        <v>835</v>
      </c>
    </row>
    <row r="255" spans="1:27" ht="12.75">
      <c r="A255" s="3" t="s">
        <v>39</v>
      </c>
      <c r="B255" s="1" t="s">
        <v>40</v>
      </c>
      <c r="C255" s="1" t="s">
        <v>29</v>
      </c>
      <c r="D255" s="1" t="s">
        <v>90</v>
      </c>
      <c r="E255" s="6" t="str">
        <f>HYPERLINK("https://www.bioscidb.com/browse/deal_bg/295","Link")</f>
        <v>Link</v>
      </c>
      <c r="F255" s="1" t="s">
        <v>27</v>
      </c>
      <c r="G255" s="16" t="s">
        <v>38</v>
      </c>
      <c r="H255" s="4">
        <v>70</v>
      </c>
      <c r="I255" s="4" t="s">
        <v>14</v>
      </c>
      <c r="J255" s="4">
        <v>55</v>
      </c>
      <c r="K255" s="20">
        <f>J255/H255</f>
        <v>0.7857142857142857</v>
      </c>
      <c r="L255" s="5" t="s">
        <v>19</v>
      </c>
      <c r="M255" s="4" t="s">
        <v>14</v>
      </c>
      <c r="N255" s="4"/>
      <c r="O255" s="4">
        <v>15</v>
      </c>
      <c r="P255" s="6" t="str">
        <f>HYPERLINK("https://www.bioscidb.com/tag/gettag/69887eb2-097f-4b56-9f4a-c037d621fa70","Tag")</f>
        <v>Tag</v>
      </c>
      <c r="Q255" s="4" t="s">
        <v>14</v>
      </c>
      <c r="R255" s="4"/>
      <c r="S255" s="4" t="s">
        <v>14</v>
      </c>
      <c r="T255" s="4"/>
      <c r="U255" s="9">
        <v>3.2</v>
      </c>
      <c r="V255" s="6" t="str">
        <f>HYPERLINK("https://www.bioscidb.com/tag/gettag/24f0ca0c-34cb-4b15-b4d1-b410c622a0ee","Tag")</f>
        <v>Tag</v>
      </c>
      <c r="W255" s="1" t="s">
        <v>14</v>
      </c>
      <c r="X255" s="1" t="s">
        <v>14</v>
      </c>
      <c r="Y255" s="1" t="s">
        <v>14</v>
      </c>
      <c r="Z255" s="1" t="s">
        <v>14</v>
      </c>
      <c r="AA255" s="1" t="s">
        <v>41</v>
      </c>
    </row>
    <row r="256" spans="1:27" ht="25.5">
      <c r="A256" s="3" t="s">
        <v>749</v>
      </c>
      <c r="B256" s="1" t="s">
        <v>750</v>
      </c>
      <c r="C256" s="1" t="s">
        <v>268</v>
      </c>
      <c r="D256" s="1" t="s">
        <v>90</v>
      </c>
      <c r="E256" s="6" t="str">
        <f>HYPERLINK("https://www.bioscidb.com/browse/deal_bg/14294","Link")</f>
        <v>Link</v>
      </c>
      <c r="F256" s="1" t="s">
        <v>15</v>
      </c>
      <c r="G256" s="16" t="s">
        <v>751</v>
      </c>
      <c r="H256" s="4">
        <v>70</v>
      </c>
      <c r="I256" s="4">
        <v>20.3</v>
      </c>
      <c r="J256" s="4" t="s">
        <v>14</v>
      </c>
      <c r="K256" s="20">
        <f>I256/H256</f>
        <v>0.29000000000000004</v>
      </c>
      <c r="L256" s="5" t="s">
        <v>19</v>
      </c>
      <c r="M256" s="4">
        <v>14.7</v>
      </c>
      <c r="N256" s="6" t="str">
        <f>HYPERLINK("https://www.bioscidb.com/tag/gettag/7ba54e99-fd78-44ce-a33f-7e3e14be5389","Tag")</f>
        <v>Tag</v>
      </c>
      <c r="O256" s="4" t="s">
        <v>14</v>
      </c>
      <c r="P256" s="4"/>
      <c r="Q256" s="4">
        <v>35</v>
      </c>
      <c r="R256" s="6" t="str">
        <f>HYPERLINK("https://www.bioscidb.com/tag/gettag/7da0fc12-da3f-4c38-9f9c-6e46f8625483","Tag")</f>
        <v>Tag</v>
      </c>
      <c r="S256" s="4">
        <v>2.5</v>
      </c>
      <c r="T256" s="4"/>
      <c r="U256" s="8"/>
      <c r="V256" s="4"/>
      <c r="W256" s="1" t="s">
        <v>14</v>
      </c>
      <c r="X256" s="1" t="s">
        <v>14</v>
      </c>
      <c r="Y256" s="1" t="s">
        <v>123</v>
      </c>
      <c r="Z256" s="1" t="s">
        <v>22</v>
      </c>
      <c r="AA256" s="1" t="s">
        <v>752</v>
      </c>
    </row>
    <row r="257" spans="1:27" ht="12.75">
      <c r="A257" s="3" t="s">
        <v>179</v>
      </c>
      <c r="B257" s="1" t="s">
        <v>180</v>
      </c>
      <c r="C257" s="1" t="s">
        <v>181</v>
      </c>
      <c r="D257" s="1" t="s">
        <v>56</v>
      </c>
      <c r="E257" s="6" t="str">
        <f>HYPERLINK("https://www.bioscidb.com/browse/deal_bg/8028","Link")</f>
        <v>Link</v>
      </c>
      <c r="F257" s="1" t="s">
        <v>27</v>
      </c>
      <c r="G257" s="16" t="s">
        <v>182</v>
      </c>
      <c r="H257" s="4">
        <v>4600</v>
      </c>
      <c r="I257" s="4">
        <v>3630</v>
      </c>
      <c r="J257" s="4" t="s">
        <v>14</v>
      </c>
      <c r="K257" s="20">
        <f>I257/H257</f>
        <v>0.7891304347826087</v>
      </c>
      <c r="L257" s="5" t="s">
        <v>19</v>
      </c>
      <c r="M257" s="4" t="s">
        <v>14</v>
      </c>
      <c r="N257" s="4"/>
      <c r="O257" s="4" t="s">
        <v>14</v>
      </c>
      <c r="P257" s="4"/>
      <c r="Q257" s="4">
        <v>970</v>
      </c>
      <c r="R257" s="4"/>
      <c r="S257" s="4" t="s">
        <v>14</v>
      </c>
      <c r="T257" s="4"/>
      <c r="U257" s="8"/>
      <c r="V257" s="4"/>
      <c r="W257" s="1" t="s">
        <v>14</v>
      </c>
      <c r="X257" s="1" t="s">
        <v>66</v>
      </c>
      <c r="Y257" s="1" t="s">
        <v>14</v>
      </c>
      <c r="Z257" s="1" t="s">
        <v>178</v>
      </c>
      <c r="AA257" s="1" t="s">
        <v>183</v>
      </c>
    </row>
    <row r="258" spans="1:27" ht="25.5">
      <c r="A258" s="3" t="s">
        <v>13</v>
      </c>
      <c r="B258" s="1" t="s">
        <v>16</v>
      </c>
      <c r="C258" s="1" t="s">
        <v>17</v>
      </c>
      <c r="D258" s="17" t="s">
        <v>56</v>
      </c>
      <c r="E258" s="6" t="str">
        <f>HYPERLINK("https://www.bioscidb.com/browse/deal_bg/518","Link")</f>
        <v>Link</v>
      </c>
      <c r="F258" s="1" t="s">
        <v>15</v>
      </c>
      <c r="G258" s="16" t="s">
        <v>18</v>
      </c>
      <c r="H258" s="4">
        <v>170</v>
      </c>
      <c r="I258" s="4">
        <v>85</v>
      </c>
      <c r="J258" s="4" t="s">
        <v>14</v>
      </c>
      <c r="K258" s="20">
        <f>I258/H258</f>
        <v>0.5</v>
      </c>
      <c r="L258" s="5" t="s">
        <v>19</v>
      </c>
      <c r="M258" s="4">
        <v>25</v>
      </c>
      <c r="N258" s="6" t="str">
        <f>HYPERLINK("https://www.bioscidb.com/tag/gettag/2c942927-78dc-4bb2-af42-6143b0cc30c6","Tag")</f>
        <v>Tag</v>
      </c>
      <c r="O258" s="4" t="s">
        <v>14</v>
      </c>
      <c r="P258" s="4"/>
      <c r="Q258" s="4">
        <v>60</v>
      </c>
      <c r="R258" s="6" t="str">
        <f>HYPERLINK("https://www.bioscidb.com/tag/gettag/14efed8f-dd83-44b7-b7a6-0bbb3beab224","Tag")</f>
        <v>Tag</v>
      </c>
      <c r="S258" s="4">
        <v>10</v>
      </c>
      <c r="T258" s="4"/>
      <c r="U258" s="8"/>
      <c r="V258" s="4"/>
      <c r="W258" s="1" t="s">
        <v>14</v>
      </c>
      <c r="X258" s="1" t="s">
        <v>14</v>
      </c>
      <c r="Y258" s="1" t="s">
        <v>21</v>
      </c>
      <c r="Z258" s="1" t="s">
        <v>22</v>
      </c>
      <c r="AA258" s="1" t="s">
        <v>20</v>
      </c>
    </row>
    <row r="259" spans="1:27" ht="12.75">
      <c r="A259" s="3" t="s">
        <v>13</v>
      </c>
      <c r="B259" s="1" t="s">
        <v>200</v>
      </c>
      <c r="C259" s="1" t="s">
        <v>201</v>
      </c>
      <c r="D259" s="17" t="s">
        <v>43</v>
      </c>
      <c r="E259" s="6" t="str">
        <f>HYPERLINK("https://www.bioscidb.com/browse/deal_bg/14739","Link")</f>
        <v>Link</v>
      </c>
      <c r="F259" s="1" t="s">
        <v>15</v>
      </c>
      <c r="G259" s="16" t="s">
        <v>202</v>
      </c>
      <c r="H259" s="4">
        <v>75</v>
      </c>
      <c r="I259" s="4">
        <v>37.5</v>
      </c>
      <c r="J259" s="4" t="s">
        <v>14</v>
      </c>
      <c r="K259" s="20">
        <f>I259/H259</f>
        <v>0.5</v>
      </c>
      <c r="L259" s="5" t="s">
        <v>19</v>
      </c>
      <c r="M259" s="4">
        <v>37.5</v>
      </c>
      <c r="N259" s="6" t="str">
        <f>HYPERLINK("https://www.bioscidb.com/tag/gettag/80bda128-d5b4-4625-a97c-d90fcd3fadd9","Tag")</f>
        <v>Tag</v>
      </c>
      <c r="O259" s="4" t="s">
        <v>14</v>
      </c>
      <c r="P259" s="4"/>
      <c r="Q259" s="4" t="s">
        <v>14</v>
      </c>
      <c r="R259" s="4"/>
      <c r="S259" s="4" t="s">
        <v>14</v>
      </c>
      <c r="T259" s="6" t="str">
        <f>HYPERLINK("https://www.bioscidb.com/tag/gettag/dcb89ffb-76b8-4670-bf79-a5b0700cd052","Tag")</f>
        <v>Tag</v>
      </c>
      <c r="U259" s="8"/>
      <c r="V259" s="4"/>
      <c r="W259" s="1" t="s">
        <v>14</v>
      </c>
      <c r="X259" s="1" t="s">
        <v>14</v>
      </c>
      <c r="Y259" s="1" t="s">
        <v>203</v>
      </c>
      <c r="Z259" s="1" t="s">
        <v>14</v>
      </c>
      <c r="AA259" s="1" t="s">
        <v>14</v>
      </c>
    </row>
    <row r="260" spans="1:27" ht="12.75">
      <c r="A260" s="3" t="s">
        <v>452</v>
      </c>
      <c r="B260" s="1" t="s">
        <v>453</v>
      </c>
      <c r="C260" s="1" t="s">
        <v>454</v>
      </c>
      <c r="D260" s="1" t="s">
        <v>90</v>
      </c>
      <c r="E260" s="6" t="str">
        <f>HYPERLINK("https://www.bioscidb.com/browse/deal_bg/6839","Link")</f>
        <v>Link</v>
      </c>
      <c r="F260" s="1" t="s">
        <v>15</v>
      </c>
      <c r="G260" s="16" t="s">
        <v>30</v>
      </c>
      <c r="H260" s="4">
        <v>340.5</v>
      </c>
      <c r="I260" s="4">
        <v>9</v>
      </c>
      <c r="J260" s="4" t="s">
        <v>14</v>
      </c>
      <c r="K260" s="20">
        <f>I260/H260</f>
        <v>0.02643171806167401</v>
      </c>
      <c r="L260" s="5" t="s">
        <v>19</v>
      </c>
      <c r="M260" s="4">
        <v>150.5</v>
      </c>
      <c r="N260" s="6" t="str">
        <f>HYPERLINK("https://www.bioscidb.com/tag/gettag/4a12fae1-823c-4871-960a-86cf75e9e46c","Tag")</f>
        <v>Tag</v>
      </c>
      <c r="O260" s="4">
        <v>81</v>
      </c>
      <c r="P260" s="6" t="str">
        <f>HYPERLINK("https://www.bioscidb.com/tag/gettag/6ce2479d-c99d-484d-b3f5-2dcbc9252761","Tag")</f>
        <v>Tag</v>
      </c>
      <c r="Q260" s="4">
        <v>100</v>
      </c>
      <c r="R260" s="6" t="str">
        <f>HYPERLINK("https://www.bioscidb.com/tag/gettag/e4cdf0fd-7c6c-42d0-b9cf-2543e1a00b1a","Tag")</f>
        <v>Tag</v>
      </c>
      <c r="S260" s="4">
        <v>12</v>
      </c>
      <c r="T260" s="6" t="str">
        <f>HYPERLINK("https://www.bioscidb.com/tag/gettag/9620d611-dbf2-48fa-8806-421a5d65ab4b","Tag")</f>
        <v>Tag</v>
      </c>
      <c r="U260" s="8"/>
      <c r="V260" s="4"/>
      <c r="W260" s="1" t="s">
        <v>14</v>
      </c>
      <c r="X260" s="1" t="s">
        <v>14</v>
      </c>
      <c r="Y260" s="1" t="s">
        <v>24</v>
      </c>
      <c r="Z260" s="1" t="s">
        <v>14</v>
      </c>
      <c r="AA260" s="1" t="s">
        <v>455</v>
      </c>
    </row>
    <row r="261" spans="1:27" ht="12.75">
      <c r="A261" s="3" t="s">
        <v>184</v>
      </c>
      <c r="B261" s="1" t="s">
        <v>185</v>
      </c>
      <c r="C261" s="1" t="s">
        <v>186</v>
      </c>
      <c r="D261" s="1" t="s">
        <v>131</v>
      </c>
      <c r="E261" s="6" t="str">
        <f>HYPERLINK("https://www.bioscidb.com/browse/deal_bg/7914","Link")</f>
        <v>Link</v>
      </c>
      <c r="F261" s="1" t="s">
        <v>27</v>
      </c>
      <c r="G261" s="16" t="s">
        <v>187</v>
      </c>
      <c r="H261" s="4">
        <v>117</v>
      </c>
      <c r="I261" s="4">
        <v>107</v>
      </c>
      <c r="J261" s="4" t="s">
        <v>14</v>
      </c>
      <c r="K261" s="20">
        <f>I261/H261</f>
        <v>0.9145299145299145</v>
      </c>
      <c r="L261" s="5" t="s">
        <v>19</v>
      </c>
      <c r="M261" s="4" t="s">
        <v>14</v>
      </c>
      <c r="N261" s="4"/>
      <c r="O261" s="4" t="s">
        <v>14</v>
      </c>
      <c r="P261" s="4"/>
      <c r="Q261" s="4">
        <v>10</v>
      </c>
      <c r="R261" s="6" t="str">
        <f>HYPERLINK("https://www.bioscidb.com/tag/gettag/846aeca5-fb12-4be3-b3d5-119c4fd5c298","Tag")</f>
        <v>Tag</v>
      </c>
      <c r="S261" s="4" t="s">
        <v>14</v>
      </c>
      <c r="T261" s="6" t="str">
        <f>HYPERLINK("https://www.bioscidb.com/tag/gettag/4b1476e1-b880-4c4b-afb5-715bef0c2f33","Tag")</f>
        <v>Tag</v>
      </c>
      <c r="U261" s="8">
        <v>1</v>
      </c>
      <c r="V261" s="6" t="str">
        <f>HYPERLINK("https://www.bioscidb.com/tag/gettag/9f88373b-66ab-43ad-9514-0dcef639d0c0","Tag")</f>
        <v>Tag</v>
      </c>
      <c r="W261" s="1" t="s">
        <v>14</v>
      </c>
      <c r="X261" s="1" t="s">
        <v>14</v>
      </c>
      <c r="Y261" s="1" t="s">
        <v>189</v>
      </c>
      <c r="Z261" s="1" t="s">
        <v>131</v>
      </c>
      <c r="AA261" s="1" t="s">
        <v>188</v>
      </c>
    </row>
    <row r="262" spans="1:27" ht="12.75">
      <c r="A262" s="3" t="s">
        <v>338</v>
      </c>
      <c r="B262" s="1" t="s">
        <v>339</v>
      </c>
      <c r="C262" s="1" t="s">
        <v>340</v>
      </c>
      <c r="D262" s="1" t="s">
        <v>56</v>
      </c>
      <c r="E262" s="6" t="str">
        <f>HYPERLINK("https://www.bioscidb.com/browse/deal_bg/14738","Link")</f>
        <v>Link</v>
      </c>
      <c r="F262" s="1" t="s">
        <v>15</v>
      </c>
      <c r="G262" s="16" t="s">
        <v>341</v>
      </c>
      <c r="H262" s="4">
        <v>4.9</v>
      </c>
      <c r="I262" s="4">
        <v>3.8</v>
      </c>
      <c r="J262" s="4" t="s">
        <v>14</v>
      </c>
      <c r="K262" s="20">
        <f>I262/H262</f>
        <v>0.7755102040816325</v>
      </c>
      <c r="L262" s="5" t="s">
        <v>19</v>
      </c>
      <c r="M262" s="4" t="s">
        <v>14</v>
      </c>
      <c r="N262" s="4"/>
      <c r="O262" s="4" t="s">
        <v>14</v>
      </c>
      <c r="P262" s="4"/>
      <c r="Q262" s="4">
        <v>1.1</v>
      </c>
      <c r="R262" s="6" t="str">
        <f>HYPERLINK("https://www.bioscidb.com/tag/gettag/0ffa0840-554d-4745-a655-7206f13fff89","Tag")</f>
        <v>Tag</v>
      </c>
      <c r="S262" s="4" t="s">
        <v>14</v>
      </c>
      <c r="T262" s="4"/>
      <c r="U262" s="8"/>
      <c r="V262" s="4"/>
      <c r="W262" s="1" t="s">
        <v>14</v>
      </c>
      <c r="X262" s="1" t="s">
        <v>14</v>
      </c>
      <c r="Y262" s="1" t="s">
        <v>55</v>
      </c>
      <c r="Z262" s="1" t="s">
        <v>14</v>
      </c>
      <c r="AA262" s="1" t="s">
        <v>14</v>
      </c>
    </row>
    <row r="263" spans="1:27" ht="25.5">
      <c r="A263" s="3" t="s">
        <v>634</v>
      </c>
      <c r="B263" s="1" t="s">
        <v>635</v>
      </c>
      <c r="C263" s="1" t="s">
        <v>636</v>
      </c>
      <c r="D263" s="17" t="s">
        <v>56</v>
      </c>
      <c r="E263" s="6" t="str">
        <f>HYPERLINK("https://www.bioscidb.com/browse/deal_bg/11693","Link")</f>
        <v>Link</v>
      </c>
      <c r="F263" s="1" t="s">
        <v>15</v>
      </c>
      <c r="G263" s="16" t="s">
        <v>637</v>
      </c>
      <c r="H263" s="4">
        <v>355.1</v>
      </c>
      <c r="I263" s="4">
        <v>100.1</v>
      </c>
      <c r="J263" s="4" t="s">
        <v>14</v>
      </c>
      <c r="K263" s="20">
        <f>I263/H263</f>
        <v>0.28189242466910724</v>
      </c>
      <c r="L263" s="5" t="s">
        <v>19</v>
      </c>
      <c r="M263" s="4" t="s">
        <v>14</v>
      </c>
      <c r="N263" s="4"/>
      <c r="O263" s="4" t="s">
        <v>14</v>
      </c>
      <c r="P263" s="4"/>
      <c r="Q263" s="4">
        <v>255</v>
      </c>
      <c r="R263" s="6" t="str">
        <f>HYPERLINK("https://www.bioscidb.com/tag/gettag/1bdc221b-6dcd-40fb-8b48-0aa215311bc3","Tag")</f>
        <v>Tag</v>
      </c>
      <c r="S263" s="4" t="s">
        <v>14</v>
      </c>
      <c r="T263" s="6" t="str">
        <f>HYPERLINK("https://www.bioscidb.com/tag/gettag/0bf7c5e6-f99b-4e5b-bd60-06c4a040537a","Tag")</f>
        <v>Tag</v>
      </c>
      <c r="U263" s="8">
        <v>12</v>
      </c>
      <c r="V263" s="6" t="str">
        <f>HYPERLINK("https://www.bioscidb.com/tag/gettag/cddd5ec4-cf33-473f-82ab-700dac936a2f","Tag")</f>
        <v>Tag</v>
      </c>
      <c r="W263" s="1" t="s">
        <v>66</v>
      </c>
      <c r="X263" s="1" t="s">
        <v>66</v>
      </c>
      <c r="Y263" s="1" t="s">
        <v>139</v>
      </c>
      <c r="Z263" s="1" t="s">
        <v>32</v>
      </c>
      <c r="AA263" s="1" t="s">
        <v>14</v>
      </c>
    </row>
    <row r="264" spans="1:27" ht="12.75">
      <c r="A264" s="3" t="s">
        <v>57</v>
      </c>
      <c r="B264" s="1" t="s">
        <v>58</v>
      </c>
      <c r="C264" s="1" t="s">
        <v>59</v>
      </c>
      <c r="D264" s="1" t="s">
        <v>56</v>
      </c>
      <c r="E264" s="6" t="str">
        <f>HYPERLINK("https://www.bioscidb.com/browse/deal_bg/548","Link")</f>
        <v>Link</v>
      </c>
      <c r="F264" s="1" t="s">
        <v>27</v>
      </c>
      <c r="G264" s="16" t="s">
        <v>30</v>
      </c>
      <c r="H264" s="4">
        <v>177.25</v>
      </c>
      <c r="I264" s="4">
        <v>122.25</v>
      </c>
      <c r="J264" s="4" t="s">
        <v>14</v>
      </c>
      <c r="K264" s="20">
        <f>I264/H264</f>
        <v>0.689703808180536</v>
      </c>
      <c r="L264" s="5" t="s">
        <v>19</v>
      </c>
      <c r="M264" s="4" t="s">
        <v>14</v>
      </c>
      <c r="N264" s="4"/>
      <c r="O264" s="4" t="s">
        <v>14</v>
      </c>
      <c r="P264" s="6" t="str">
        <f>HYPERLINK("https://www.bioscidb.com/tag/gettag/1a7444e2-308a-4932-bb40-1003e1f00fe4","Tag")</f>
        <v>Tag</v>
      </c>
      <c r="Q264" s="4">
        <v>30</v>
      </c>
      <c r="R264" s="6" t="str">
        <f>HYPERLINK("https://www.bioscidb.com/tag/gettag/e9d0f79f-4bd4-49ff-9918-e8e7056f5a08","Tag")</f>
        <v>Tag</v>
      </c>
      <c r="S264" s="4" t="s">
        <v>14</v>
      </c>
      <c r="T264" s="6" t="str">
        <f>HYPERLINK("https://www.bioscidb.com/tag/gettag/128b95a7-8df8-4915-bab8-6f7b5644f17a","Tag")</f>
        <v>Tag</v>
      </c>
      <c r="U264" s="8">
        <v>0.8</v>
      </c>
      <c r="V264" s="6" t="str">
        <f>HYPERLINK("https://www.bioscidb.com/tag/gettag/a31a0204-0bc4-4d02-9dc3-9533038604ff","Tag")</f>
        <v>Tag</v>
      </c>
      <c r="W264" s="1" t="s">
        <v>14</v>
      </c>
      <c r="X264" s="1" t="s">
        <v>54</v>
      </c>
      <c r="Y264" s="1" t="s">
        <v>61</v>
      </c>
      <c r="Z264" s="1" t="s">
        <v>14</v>
      </c>
      <c r="AA264" s="1" t="s">
        <v>60</v>
      </c>
    </row>
    <row r="265" spans="1:27" ht="12.75">
      <c r="A265" s="3" t="s">
        <v>57</v>
      </c>
      <c r="B265" s="1" t="s">
        <v>544</v>
      </c>
      <c r="C265" s="1" t="s">
        <v>545</v>
      </c>
      <c r="D265" s="1" t="s">
        <v>50</v>
      </c>
      <c r="E265" s="6" t="str">
        <f>HYPERLINK("https://www.bioscidb.com/browse/deal_bg/9151","Link")</f>
        <v>Link</v>
      </c>
      <c r="F265" s="1" t="s">
        <v>15</v>
      </c>
      <c r="G265" s="16" t="s">
        <v>546</v>
      </c>
      <c r="H265" s="4">
        <v>13.5</v>
      </c>
      <c r="I265" s="4">
        <v>2.5</v>
      </c>
      <c r="J265" s="4" t="s">
        <v>14</v>
      </c>
      <c r="K265" s="20">
        <f>I265/H265</f>
        <v>0.18518518518518517</v>
      </c>
      <c r="L265" s="5" t="s">
        <v>19</v>
      </c>
      <c r="M265" s="4">
        <v>2</v>
      </c>
      <c r="N265" s="6" t="str">
        <f>HYPERLINK("https://www.bioscidb.com/tag/gettag/5a72a940-8bf8-49b2-a919-4c41e717b165","Tag")</f>
        <v>Tag</v>
      </c>
      <c r="O265" s="4" t="s">
        <v>14</v>
      </c>
      <c r="P265" s="4"/>
      <c r="Q265" s="4" t="s">
        <v>14</v>
      </c>
      <c r="R265" s="4"/>
      <c r="S265" s="4" t="s">
        <v>14</v>
      </c>
      <c r="T265" s="4"/>
      <c r="U265" s="8"/>
      <c r="V265" s="4"/>
      <c r="W265" s="1" t="s">
        <v>14</v>
      </c>
      <c r="X265" s="1" t="s">
        <v>14</v>
      </c>
      <c r="Y265" s="1" t="s">
        <v>123</v>
      </c>
      <c r="Z265" s="1" t="s">
        <v>178</v>
      </c>
      <c r="AA265" s="1" t="s">
        <v>14</v>
      </c>
    </row>
    <row r="266" spans="1:27" ht="25.5">
      <c r="A266" s="3" t="s">
        <v>330</v>
      </c>
      <c r="B266" s="1" t="s">
        <v>331</v>
      </c>
      <c r="C266" s="1" t="s">
        <v>332</v>
      </c>
      <c r="D266" s="17" t="s">
        <v>159</v>
      </c>
      <c r="E266" s="6" t="str">
        <f>HYPERLINK("https://www.bioscidb.com/browse/deal_bg/1553","Link")</f>
        <v>Link</v>
      </c>
      <c r="F266" s="1" t="s">
        <v>15</v>
      </c>
      <c r="G266" s="16" t="s">
        <v>333</v>
      </c>
      <c r="H266" s="4">
        <v>180</v>
      </c>
      <c r="I266" s="4">
        <v>10</v>
      </c>
      <c r="J266" s="4" t="s">
        <v>14</v>
      </c>
      <c r="K266" s="20">
        <f>I266/H266</f>
        <v>0.05555555555555555</v>
      </c>
      <c r="L266" s="5" t="s">
        <v>19</v>
      </c>
      <c r="M266" s="4">
        <v>140</v>
      </c>
      <c r="N266" s="6" t="str">
        <f>HYPERLINK("https://www.bioscidb.com/tag/gettag/eb1959f6-fec7-41ec-82da-79574a02e431","Tag")</f>
        <v>Tag</v>
      </c>
      <c r="O266" s="4" t="s">
        <v>14</v>
      </c>
      <c r="P266" s="4"/>
      <c r="Q266" s="4">
        <v>30</v>
      </c>
      <c r="R266" s="6" t="str">
        <f>HYPERLINK("https://www.bioscidb.com/tag/gettag/1ea41a56-094e-49ba-b3a8-1e2a0986c86a","Tag")</f>
        <v>Tag</v>
      </c>
      <c r="S266" s="4" t="s">
        <v>14</v>
      </c>
      <c r="T266" s="6" t="str">
        <f>HYPERLINK("https://www.bioscidb.com/tag/gettag/408dcfae-06b4-47c2-a6b3-9a7ff8ff3974","Tag")</f>
        <v>Tag</v>
      </c>
      <c r="U266" s="8"/>
      <c r="V266" s="4"/>
      <c r="W266" s="1" t="s">
        <v>14</v>
      </c>
      <c r="X266" s="1" t="s">
        <v>14</v>
      </c>
      <c r="Y266" s="1" t="s">
        <v>49</v>
      </c>
      <c r="Z266" s="1" t="s">
        <v>89</v>
      </c>
      <c r="AA266" s="1" t="s">
        <v>14</v>
      </c>
    </row>
    <row r="267" spans="1:27" ht="12.75">
      <c r="A267" s="3" t="s">
        <v>294</v>
      </c>
      <c r="B267" s="1" t="s">
        <v>493</v>
      </c>
      <c r="C267" s="1" t="s">
        <v>263</v>
      </c>
      <c r="D267" s="1" t="s">
        <v>50</v>
      </c>
      <c r="E267" s="6" t="str">
        <f>HYPERLINK("https://www.bioscidb.com/browse/deal_bg/6961","Link")</f>
        <v>Link</v>
      </c>
      <c r="F267" s="1" t="s">
        <v>15</v>
      </c>
      <c r="G267" s="16" t="s">
        <v>30</v>
      </c>
      <c r="H267" s="4">
        <v>593.6</v>
      </c>
      <c r="I267" s="4">
        <v>493.6</v>
      </c>
      <c r="J267" s="4" t="s">
        <v>14</v>
      </c>
      <c r="K267" s="20">
        <f>I267/H267</f>
        <v>0.8315363881401617</v>
      </c>
      <c r="L267" s="5" t="s">
        <v>19</v>
      </c>
      <c r="M267" s="4" t="s">
        <v>14</v>
      </c>
      <c r="N267" s="4"/>
      <c r="O267" s="4" t="s">
        <v>14</v>
      </c>
      <c r="P267" s="4"/>
      <c r="Q267" s="4">
        <v>100</v>
      </c>
      <c r="R267" s="6" t="str">
        <f>HYPERLINK("https://www.bioscidb.com/tag/gettag/895f15c8-21b8-4eac-9327-5c4c496ad131","Tag")</f>
        <v>Tag</v>
      </c>
      <c r="S267" s="4" t="s">
        <v>14</v>
      </c>
      <c r="T267" s="6" t="str">
        <f>HYPERLINK("https://www.bioscidb.com/tag/gettag/9f8b0e3f-6159-44ed-9777-364bc6e7d446","Tag")</f>
        <v>Tag</v>
      </c>
      <c r="U267" s="8">
        <v>7</v>
      </c>
      <c r="V267" s="6" t="str">
        <f>HYPERLINK("https://www.bioscidb.com/tag/gettag/4996e803-e38c-4935-9444-0100c55d7482","Tag")</f>
        <v>Tag</v>
      </c>
      <c r="W267" s="1" t="s">
        <v>14</v>
      </c>
      <c r="X267" s="1" t="s">
        <v>66</v>
      </c>
      <c r="Y267" s="1" t="s">
        <v>83</v>
      </c>
      <c r="Z267" s="1" t="s">
        <v>14</v>
      </c>
      <c r="AA267" s="1" t="s">
        <v>14</v>
      </c>
    </row>
    <row r="268" spans="1:27" ht="12.75">
      <c r="A268" s="3" t="s">
        <v>294</v>
      </c>
      <c r="B268" s="1" t="s">
        <v>295</v>
      </c>
      <c r="C268" s="1" t="s">
        <v>296</v>
      </c>
      <c r="D268" s="1" t="s">
        <v>131</v>
      </c>
      <c r="E268" s="6" t="str">
        <f>HYPERLINK("https://www.bioscidb.com/browse/deal_bg/8020","Link")</f>
        <v>Link</v>
      </c>
      <c r="F268" s="1" t="s">
        <v>27</v>
      </c>
      <c r="G268" s="16" t="s">
        <v>30</v>
      </c>
      <c r="H268" s="4">
        <v>725</v>
      </c>
      <c r="I268" s="4">
        <v>525</v>
      </c>
      <c r="J268" s="4" t="s">
        <v>14</v>
      </c>
      <c r="K268" s="20">
        <f>I268/H268</f>
        <v>0.7241379310344828</v>
      </c>
      <c r="L268" s="5" t="s">
        <v>19</v>
      </c>
      <c r="M268" s="4" t="s">
        <v>14</v>
      </c>
      <c r="N268" s="4"/>
      <c r="O268" s="4" t="s">
        <v>14</v>
      </c>
      <c r="P268" s="4"/>
      <c r="Q268" s="4">
        <v>200</v>
      </c>
      <c r="R268" s="6" t="str">
        <f>HYPERLINK("https://www.bioscidb.com/tag/gettag/81775678-3163-44e3-b0bd-19c43528a3a5","Tag")</f>
        <v>Tag</v>
      </c>
      <c r="S268" s="4" t="s">
        <v>14</v>
      </c>
      <c r="T268" s="6" t="str">
        <f>HYPERLINK("https://www.bioscidb.com/tag/gettag/eb2d287c-4c4c-405a-871c-7fb08ec31a16","Tag")</f>
        <v>Tag</v>
      </c>
      <c r="U268" s="8">
        <v>1.5</v>
      </c>
      <c r="V268" s="6" t="str">
        <f>HYPERLINK("https://www.bioscidb.com/tag/gettag/96c7c4ad-8b03-427b-a57d-96a53457f0b4","Tag")</f>
        <v>Tag</v>
      </c>
      <c r="W268" s="1" t="s">
        <v>14</v>
      </c>
      <c r="X268" s="1" t="s">
        <v>14</v>
      </c>
      <c r="Y268" s="1" t="s">
        <v>189</v>
      </c>
      <c r="Z268" s="1" t="s">
        <v>131</v>
      </c>
      <c r="AA268" s="1" t="s">
        <v>14</v>
      </c>
    </row>
    <row r="269" spans="1:27" ht="12.75">
      <c r="A269" s="3" t="s">
        <v>238</v>
      </c>
      <c r="B269" s="1" t="s">
        <v>93</v>
      </c>
      <c r="C269" s="1" t="s">
        <v>611</v>
      </c>
      <c r="D269" s="1" t="s">
        <v>56</v>
      </c>
      <c r="E269" s="6" t="str">
        <f>HYPERLINK("https://www.bioscidb.com/browse/deal_bg/7198","Link")</f>
        <v>Link</v>
      </c>
      <c r="F269" s="1" t="s">
        <v>15</v>
      </c>
      <c r="G269" s="16" t="s">
        <v>612</v>
      </c>
      <c r="H269" s="4">
        <v>120</v>
      </c>
      <c r="I269" s="4">
        <v>50</v>
      </c>
      <c r="J269" s="4" t="s">
        <v>14</v>
      </c>
      <c r="K269" s="20">
        <f>I269/H269</f>
        <v>0.4166666666666667</v>
      </c>
      <c r="L269" s="5" t="s">
        <v>19</v>
      </c>
      <c r="M269" s="4" t="s">
        <v>14</v>
      </c>
      <c r="N269" s="4"/>
      <c r="O269" s="4" t="s">
        <v>14</v>
      </c>
      <c r="P269" s="4"/>
      <c r="Q269" s="4">
        <v>70</v>
      </c>
      <c r="R269" s="6" t="str">
        <f>HYPERLINK("https://www.bioscidb.com/tag/gettag/33d86299-422a-42e9-b6b2-429f4594fb9b","Tag")</f>
        <v>Tag</v>
      </c>
      <c r="S269" s="4" t="s">
        <v>14</v>
      </c>
      <c r="T269" s="6" t="str">
        <f>HYPERLINK("https://www.bioscidb.com/tag/gettag/7207c12c-ac2e-43d5-863e-9620df175000","Tag")</f>
        <v>Tag</v>
      </c>
      <c r="U269" s="8">
        <v>15</v>
      </c>
      <c r="V269" s="6" t="str">
        <f>HYPERLINK("https://www.bioscidb.com/tag/gettag/fe90a804-c385-46cf-88b4-cbd1855601bf","Tag")</f>
        <v>Tag</v>
      </c>
      <c r="W269" s="1" t="s">
        <v>79</v>
      </c>
      <c r="X269" s="1" t="s">
        <v>14</v>
      </c>
      <c r="Y269" s="1" t="s">
        <v>24</v>
      </c>
      <c r="Z269" s="1" t="s">
        <v>84</v>
      </c>
      <c r="AA269" s="1" t="s">
        <v>14</v>
      </c>
    </row>
    <row r="270" spans="1:27" ht="12.75">
      <c r="A270" s="3" t="s">
        <v>238</v>
      </c>
      <c r="B270" s="1" t="s">
        <v>239</v>
      </c>
      <c r="C270" s="1" t="s">
        <v>240</v>
      </c>
      <c r="D270" s="1" t="s">
        <v>43</v>
      </c>
      <c r="E270" s="6" t="str">
        <f>HYPERLINK("https://www.bioscidb.com/browse/deal_bg/7429","Link")</f>
        <v>Link</v>
      </c>
      <c r="F270" s="1" t="s">
        <v>27</v>
      </c>
      <c r="G270" s="16" t="s">
        <v>30</v>
      </c>
      <c r="H270" s="4">
        <v>104</v>
      </c>
      <c r="I270" s="4">
        <v>59</v>
      </c>
      <c r="J270" s="4" t="s">
        <v>14</v>
      </c>
      <c r="K270" s="20">
        <f>I270/H270</f>
        <v>0.5673076923076923</v>
      </c>
      <c r="L270" s="5" t="s">
        <v>19</v>
      </c>
      <c r="M270" s="4">
        <v>45</v>
      </c>
      <c r="N270" s="6" t="str">
        <f>HYPERLINK("https://www.bioscidb.com/tag/gettag/21d63614-77c1-46d9-b8e1-f95d4c95c9a4","Tag")</f>
        <v>Tag</v>
      </c>
      <c r="O270" s="4" t="s">
        <v>14</v>
      </c>
      <c r="P270" s="4"/>
      <c r="Q270" s="4" t="s">
        <v>14</v>
      </c>
      <c r="R270" s="4"/>
      <c r="S270" s="4" t="s">
        <v>14</v>
      </c>
      <c r="T270" s="4"/>
      <c r="U270" s="8"/>
      <c r="V270" s="4"/>
      <c r="W270" s="1" t="s">
        <v>14</v>
      </c>
      <c r="X270" s="1" t="s">
        <v>23</v>
      </c>
      <c r="Y270" s="1" t="s">
        <v>55</v>
      </c>
      <c r="Z270" s="1" t="s">
        <v>22</v>
      </c>
      <c r="AA270" s="1" t="s">
        <v>14</v>
      </c>
    </row>
    <row r="271" spans="1:27" ht="12.75">
      <c r="A271" s="3" t="s">
        <v>303</v>
      </c>
      <c r="B271" s="1" t="s">
        <v>304</v>
      </c>
      <c r="C271" s="1" t="s">
        <v>257</v>
      </c>
      <c r="D271" s="17" t="s">
        <v>67</v>
      </c>
      <c r="E271" s="6" t="str">
        <f>HYPERLINK("https://www.bioscidb.com/browse/deal_bg/1325","Link")</f>
        <v>Link</v>
      </c>
      <c r="F271" s="1" t="s">
        <v>27</v>
      </c>
      <c r="G271" s="16" t="s">
        <v>30</v>
      </c>
      <c r="H271" s="4">
        <v>450</v>
      </c>
      <c r="I271" s="4">
        <v>360</v>
      </c>
      <c r="J271" s="4" t="s">
        <v>14</v>
      </c>
      <c r="K271" s="20">
        <f>I271/H271</f>
        <v>0.8</v>
      </c>
      <c r="L271" s="5" t="s">
        <v>19</v>
      </c>
      <c r="M271" s="4" t="s">
        <v>14</v>
      </c>
      <c r="N271" s="4"/>
      <c r="O271" s="4">
        <v>90</v>
      </c>
      <c r="P271" s="6" t="str">
        <f>HYPERLINK("https://www.bioscidb.com/tag/gettag/d0cb812d-3888-4915-84d9-64303cd1b571","Tag")</f>
        <v>Tag</v>
      </c>
      <c r="Q271" s="4" t="s">
        <v>14</v>
      </c>
      <c r="R271" s="4"/>
      <c r="S271" s="4" t="s">
        <v>14</v>
      </c>
      <c r="T271" s="6" t="str">
        <f>HYPERLINK("https://www.bioscidb.com/tag/gettag/aeb59c5b-6e36-48b7-a06c-611753082586","Tag")</f>
        <v>Tag</v>
      </c>
      <c r="U271" s="8">
        <v>5.2</v>
      </c>
      <c r="V271" s="6" t="str">
        <f>HYPERLINK("https://www.bioscidb.com/tag/gettag/d06e86a2-adfa-4845-9568-3ae16b77b572","Tag")</f>
        <v>Tag</v>
      </c>
      <c r="W271" s="1" t="s">
        <v>14</v>
      </c>
      <c r="X271" s="1" t="s">
        <v>23</v>
      </c>
      <c r="Y271" s="1" t="s">
        <v>305</v>
      </c>
      <c r="Z271" s="1" t="s">
        <v>148</v>
      </c>
      <c r="AA271" s="1" t="s">
        <v>14</v>
      </c>
    </row>
    <row r="272" spans="1:27" ht="12.75">
      <c r="A272" s="3" t="s">
        <v>343</v>
      </c>
      <c r="B272" s="1" t="s">
        <v>344</v>
      </c>
      <c r="C272" s="1" t="s">
        <v>192</v>
      </c>
      <c r="D272" s="1" t="s">
        <v>25</v>
      </c>
      <c r="E272" s="6" t="str">
        <f>HYPERLINK("https://www.bioscidb.com/browse/deal_bg/8030","Link")</f>
        <v>Link</v>
      </c>
      <c r="F272" s="1" t="s">
        <v>15</v>
      </c>
      <c r="G272" s="16" t="s">
        <v>345</v>
      </c>
      <c r="H272" s="4">
        <v>8</v>
      </c>
      <c r="I272" s="4">
        <v>4</v>
      </c>
      <c r="J272" s="4" t="s">
        <v>14</v>
      </c>
      <c r="K272" s="20">
        <f>I272/H272</f>
        <v>0.5</v>
      </c>
      <c r="L272" s="5" t="s">
        <v>19</v>
      </c>
      <c r="M272" s="4">
        <v>4</v>
      </c>
      <c r="N272" s="6" t="str">
        <f>HYPERLINK("https://www.bioscidb.com/tag/gettag/4458e1d8-9f49-45b0-bb27-c3beaaf149a1","Tag")</f>
        <v>Tag</v>
      </c>
      <c r="O272" s="4" t="s">
        <v>14</v>
      </c>
      <c r="P272" s="4"/>
      <c r="Q272" s="4" t="s">
        <v>14</v>
      </c>
      <c r="R272" s="4"/>
      <c r="S272" s="4">
        <v>3</v>
      </c>
      <c r="T272" s="4"/>
      <c r="U272" s="8"/>
      <c r="V272" s="4"/>
      <c r="W272" s="1" t="s">
        <v>14</v>
      </c>
      <c r="X272" s="1" t="s">
        <v>14</v>
      </c>
      <c r="Y272" s="1" t="s">
        <v>346</v>
      </c>
      <c r="Z272" s="1" t="s">
        <v>32</v>
      </c>
      <c r="AA272" s="1" t="s">
        <v>14</v>
      </c>
    </row>
    <row r="273" spans="1:27" ht="12.75">
      <c r="A273" s="3" t="s">
        <v>164</v>
      </c>
      <c r="B273" s="1" t="s">
        <v>165</v>
      </c>
      <c r="C273" s="1" t="s">
        <v>166</v>
      </c>
      <c r="D273" s="1" t="s">
        <v>56</v>
      </c>
      <c r="E273" s="6" t="str">
        <f>HYPERLINK("https://www.bioscidb.com/browse/deal_bg/3188","Link")</f>
        <v>Link</v>
      </c>
      <c r="F273" s="1" t="s">
        <v>15</v>
      </c>
      <c r="G273" s="16" t="s">
        <v>167</v>
      </c>
      <c r="H273" s="4">
        <v>4600</v>
      </c>
      <c r="I273" s="4">
        <v>4100</v>
      </c>
      <c r="J273" s="4" t="s">
        <v>14</v>
      </c>
      <c r="K273" s="20">
        <f>I273/H273</f>
        <v>0.8913043478260869</v>
      </c>
      <c r="L273" s="5" t="s">
        <v>19</v>
      </c>
      <c r="M273" s="4">
        <v>500</v>
      </c>
      <c r="N273" s="6" t="str">
        <f>HYPERLINK("https://www.bioscidb.com/tag/gettag/229cbfae-32da-46d2-bdbb-724b1af4bb6c","Tag")</f>
        <v>Tag</v>
      </c>
      <c r="O273" s="4" t="s">
        <v>14</v>
      </c>
      <c r="P273" s="4"/>
      <c r="Q273" s="4" t="s">
        <v>14</v>
      </c>
      <c r="R273" s="4"/>
      <c r="S273" s="4" t="s">
        <v>14</v>
      </c>
      <c r="T273" s="4"/>
      <c r="U273" s="8">
        <v>10</v>
      </c>
      <c r="V273" s="6" t="str">
        <f>HYPERLINK("https://www.bioscidb.com/tag/gettag/9c0c4fb8-1f21-4f21-818e-52468b8c4542","Tag")</f>
        <v>Tag</v>
      </c>
      <c r="W273" s="1" t="s">
        <v>14</v>
      </c>
      <c r="X273" s="1" t="s">
        <v>79</v>
      </c>
      <c r="Y273" s="1" t="s">
        <v>21</v>
      </c>
      <c r="Z273" s="1" t="s">
        <v>14</v>
      </c>
      <c r="AA273" s="1" t="s">
        <v>14</v>
      </c>
    </row>
    <row r="274" spans="1:27" ht="12.75">
      <c r="A274" s="3" t="s">
        <v>97</v>
      </c>
      <c r="B274" s="1" t="s">
        <v>98</v>
      </c>
      <c r="C274" s="1" t="s">
        <v>99</v>
      </c>
      <c r="D274" s="1" t="s">
        <v>90</v>
      </c>
      <c r="E274" s="6" t="str">
        <f>HYPERLINK("https://www.bioscidb.com/browse/deal_bg/1226","Link")</f>
        <v>Link</v>
      </c>
      <c r="F274" s="1" t="s">
        <v>69</v>
      </c>
      <c r="G274" s="16" t="s">
        <v>100</v>
      </c>
      <c r="H274" s="4">
        <v>40</v>
      </c>
      <c r="I274" s="4" t="s">
        <v>14</v>
      </c>
      <c r="J274" s="4" t="s">
        <v>14</v>
      </c>
      <c r="K274" s="20"/>
      <c r="L274" s="5" t="s">
        <v>14</v>
      </c>
      <c r="M274" s="4" t="s">
        <v>14</v>
      </c>
      <c r="N274" s="4"/>
      <c r="O274" s="4" t="s">
        <v>14</v>
      </c>
      <c r="P274" s="4"/>
      <c r="Q274" s="4" t="s">
        <v>14</v>
      </c>
      <c r="R274" s="4"/>
      <c r="S274" s="4" t="s">
        <v>14</v>
      </c>
      <c r="T274" s="4"/>
      <c r="U274" s="8"/>
      <c r="V274" s="4"/>
      <c r="W274" s="1" t="s">
        <v>14</v>
      </c>
      <c r="X274" s="1" t="s">
        <v>54</v>
      </c>
      <c r="Y274" s="1" t="s">
        <v>55</v>
      </c>
      <c r="Z274" s="1" t="s">
        <v>22</v>
      </c>
      <c r="AA274" s="1" t="s">
        <v>14</v>
      </c>
    </row>
    <row r="275" spans="1:27" ht="12.75">
      <c r="A275" s="3" t="s">
        <v>673</v>
      </c>
      <c r="B275" s="1" t="s">
        <v>674</v>
      </c>
      <c r="C275" s="1" t="s">
        <v>675</v>
      </c>
      <c r="D275" s="1" t="s">
        <v>56</v>
      </c>
      <c r="E275" s="6" t="str">
        <f>HYPERLINK("https://www.bioscidb.com/browse/deal_bg/14742","Link")</f>
        <v>Link</v>
      </c>
      <c r="F275" s="1" t="s">
        <v>15</v>
      </c>
      <c r="G275" s="16" t="s">
        <v>676</v>
      </c>
      <c r="H275" s="4">
        <v>22.25</v>
      </c>
      <c r="I275" s="4">
        <v>14</v>
      </c>
      <c r="J275" s="4" t="s">
        <v>14</v>
      </c>
      <c r="K275" s="20">
        <f>I275/H275</f>
        <v>0.6292134831460674</v>
      </c>
      <c r="L275" s="5" t="s">
        <v>19</v>
      </c>
      <c r="M275" s="4" t="s">
        <v>14</v>
      </c>
      <c r="N275" s="4"/>
      <c r="O275" s="4" t="s">
        <v>14</v>
      </c>
      <c r="P275" s="4"/>
      <c r="Q275" s="4">
        <v>8.25</v>
      </c>
      <c r="R275" s="6" t="str">
        <f>HYPERLINK("https://www.bioscidb.com/tag/gettag/6e2bef67-c236-4601-af97-4cd2863e9db4","Tag")</f>
        <v>Tag</v>
      </c>
      <c r="S275" s="4" t="s">
        <v>14</v>
      </c>
      <c r="T275" s="4"/>
      <c r="U275" s="8"/>
      <c r="V275" s="4"/>
      <c r="W275" s="1" t="s">
        <v>14</v>
      </c>
      <c r="X275" s="1" t="s">
        <v>14</v>
      </c>
      <c r="Y275" s="1" t="s">
        <v>266</v>
      </c>
      <c r="Z275" s="1" t="s">
        <v>22</v>
      </c>
      <c r="AA275" s="1" t="s">
        <v>14</v>
      </c>
    </row>
    <row r="276" spans="1:27" ht="12.75">
      <c r="A276" s="3" t="s">
        <v>281</v>
      </c>
      <c r="B276" s="1" t="s">
        <v>282</v>
      </c>
      <c r="C276" s="1" t="s">
        <v>283</v>
      </c>
      <c r="D276" s="1" t="s">
        <v>280</v>
      </c>
      <c r="E276" s="6" t="str">
        <f>HYPERLINK("https://www.bioscidb.com/browse/deal_bg/1353","Link")</f>
        <v>Link</v>
      </c>
      <c r="F276" s="1" t="s">
        <v>27</v>
      </c>
      <c r="G276" s="16" t="s">
        <v>284</v>
      </c>
      <c r="H276" s="4" t="s">
        <v>14</v>
      </c>
      <c r="I276" s="4" t="s">
        <v>14</v>
      </c>
      <c r="J276" s="4" t="s">
        <v>14</v>
      </c>
      <c r="K276" s="20"/>
      <c r="L276" s="5" t="s">
        <v>14</v>
      </c>
      <c r="M276" s="4" t="s">
        <v>14</v>
      </c>
      <c r="N276" s="4"/>
      <c r="O276" s="4" t="s">
        <v>14</v>
      </c>
      <c r="P276" s="4"/>
      <c r="Q276" s="4" t="s">
        <v>14</v>
      </c>
      <c r="R276" s="4"/>
      <c r="S276" s="4" t="s">
        <v>14</v>
      </c>
      <c r="T276" s="4"/>
      <c r="U276" s="8"/>
      <c r="V276" s="4"/>
      <c r="W276" s="1" t="s">
        <v>14</v>
      </c>
      <c r="X276" s="1" t="s">
        <v>14</v>
      </c>
      <c r="Y276" s="1" t="s">
        <v>285</v>
      </c>
      <c r="Z276" s="1" t="s">
        <v>286</v>
      </c>
      <c r="AA276" s="1" t="s">
        <v>14</v>
      </c>
    </row>
    <row r="277" spans="1:27" ht="12.75">
      <c r="A277" s="3" t="s">
        <v>680</v>
      </c>
      <c r="B277" s="1" t="s">
        <v>681</v>
      </c>
      <c r="C277" s="1" t="s">
        <v>682</v>
      </c>
      <c r="D277" s="17" t="s">
        <v>43</v>
      </c>
      <c r="E277" s="6" t="str">
        <f>HYPERLINK("https://www.bioscidb.com/browse/deal_bg/12660","Link")</f>
        <v>Link</v>
      </c>
      <c r="F277" s="1" t="s">
        <v>15</v>
      </c>
      <c r="G277" s="16" t="s">
        <v>683</v>
      </c>
      <c r="H277" s="4">
        <v>32</v>
      </c>
      <c r="I277" s="4">
        <v>7</v>
      </c>
      <c r="J277" s="4" t="s">
        <v>14</v>
      </c>
      <c r="K277" s="20">
        <f>I277/H277</f>
        <v>0.21875</v>
      </c>
      <c r="L277" s="5" t="s">
        <v>19</v>
      </c>
      <c r="M277" s="4">
        <v>25</v>
      </c>
      <c r="N277" s="6" t="str">
        <f>HYPERLINK("https://www.bioscidb.com/tag/gettag/2a0ddcd9-80ef-4eb4-9d96-239047c1e92b","Tag")</f>
        <v>Tag</v>
      </c>
      <c r="O277" s="4" t="s">
        <v>14</v>
      </c>
      <c r="P277" s="4"/>
      <c r="Q277" s="4" t="s">
        <v>14</v>
      </c>
      <c r="R277" s="4"/>
      <c r="S277" s="4">
        <v>7.000000000000001</v>
      </c>
      <c r="T277" s="6" t="str">
        <f>HYPERLINK("https://www.bioscidb.com/tag/gettag/d77dd963-153d-4966-bcaa-f6fceb0fbf52","Tag")</f>
        <v>Tag</v>
      </c>
      <c r="U277" s="8"/>
      <c r="V277" s="4"/>
      <c r="W277" s="1" t="s">
        <v>14</v>
      </c>
      <c r="X277" s="1" t="s">
        <v>66</v>
      </c>
      <c r="Y277" s="1" t="s">
        <v>139</v>
      </c>
      <c r="Z277" s="1" t="s">
        <v>22</v>
      </c>
      <c r="AA277" s="1" t="s">
        <v>684</v>
      </c>
    </row>
    <row r="278" spans="1:27" ht="12.75">
      <c r="A278" s="3" t="s">
        <v>51</v>
      </c>
      <c r="B278" s="1" t="s">
        <v>52</v>
      </c>
      <c r="C278" s="1" t="s">
        <v>53</v>
      </c>
      <c r="D278" s="1" t="s">
        <v>50</v>
      </c>
      <c r="E278" s="6" t="str">
        <f>HYPERLINK("https://www.bioscidb.com/browse/deal_bg/467","Link")</f>
        <v>Link</v>
      </c>
      <c r="F278" s="1" t="s">
        <v>27</v>
      </c>
      <c r="G278" s="16" t="s">
        <v>38</v>
      </c>
      <c r="H278" s="4">
        <v>32</v>
      </c>
      <c r="I278" s="4" t="s">
        <v>14</v>
      </c>
      <c r="J278" s="4" t="s">
        <v>14</v>
      </c>
      <c r="K278" s="20"/>
      <c r="L278" s="5" t="s">
        <v>14</v>
      </c>
      <c r="M278" s="4" t="s">
        <v>14</v>
      </c>
      <c r="N278" s="4"/>
      <c r="O278" s="4" t="s">
        <v>14</v>
      </c>
      <c r="P278" s="4"/>
      <c r="Q278" s="4" t="s">
        <v>14</v>
      </c>
      <c r="R278" s="4"/>
      <c r="S278" s="4" t="s">
        <v>14</v>
      </c>
      <c r="T278" s="4"/>
      <c r="U278" s="8"/>
      <c r="V278" s="4"/>
      <c r="W278" s="1" t="s">
        <v>14</v>
      </c>
      <c r="X278" s="1" t="s">
        <v>54</v>
      </c>
      <c r="Y278" s="1" t="s">
        <v>55</v>
      </c>
      <c r="Z278" s="1" t="s">
        <v>22</v>
      </c>
      <c r="AA278" s="1" t="s">
        <v>14</v>
      </c>
    </row>
    <row r="280" spans="4:22" ht="12.75">
      <c r="D280" s="2"/>
      <c r="G280" s="18" t="s">
        <v>987</v>
      </c>
      <c r="H280" s="2" t="str">
        <f>DOLLAR(AVERAGE(H2:H278))</f>
        <v>$1,025.90</v>
      </c>
      <c r="I280" s="2" t="str">
        <f>DOLLAR(AVERAGE(I2:I278))</f>
        <v>$819.05</v>
      </c>
      <c r="J280" s="2" t="str">
        <f>DOLLAR(AVERAGE(J2:J278))</f>
        <v>$376.23</v>
      </c>
      <c r="K280" s="21">
        <f>AVERAGE(K2:K278)</f>
        <v>0.502704634524142</v>
      </c>
      <c r="Q280" s="2"/>
      <c r="R280" s="2"/>
      <c r="S280" s="2"/>
      <c r="T280" s="25" t="s">
        <v>1039</v>
      </c>
      <c r="U280" s="10">
        <f>AVERAGE(U240:U278)</f>
        <v>6.245454545454546</v>
      </c>
      <c r="V280" s="2"/>
    </row>
    <row r="281" spans="4:22" ht="12.75">
      <c r="D281" s="2"/>
      <c r="G281" s="18" t="s">
        <v>988</v>
      </c>
      <c r="H281" s="2" t="str">
        <f>DOLLAR(MEDIAN(H2:H278))</f>
        <v>$234.25</v>
      </c>
      <c r="I281" s="2" t="str">
        <f>DOLLAR(MEDIAN(I2:I278))</f>
        <v>$122.25</v>
      </c>
      <c r="J281" s="2" t="str">
        <f>DOLLAR(MEDIAN(J2:J278))</f>
        <v>$26.00</v>
      </c>
      <c r="K281" s="21">
        <f>MEDIAN(K2:K278)</f>
        <v>0.5</v>
      </c>
      <c r="Q281" s="2"/>
      <c r="R281" s="2"/>
      <c r="S281" s="2"/>
      <c r="T281" s="25" t="s">
        <v>1040</v>
      </c>
      <c r="U281" s="10">
        <f>MEDIAN(U240:U278)</f>
        <v>6.5</v>
      </c>
      <c r="V281" s="2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7"/>
  <sheetViews>
    <sheetView zoomScalePageLayoutView="0" workbookViewId="0" topLeftCell="A55">
      <pane ySplit="1" topLeftCell="A56" activePane="bottomLeft" state="frozen"/>
      <selection pane="topLeft" activeCell="A55" sqref="A55"/>
      <selection pane="bottomLeft" activeCell="K227" sqref="K227"/>
    </sheetView>
  </sheetViews>
  <sheetFormatPr defaultColWidth="9.140625" defaultRowHeight="12.75"/>
  <cols>
    <col min="1" max="1" width="15.7109375" style="0" customWidth="1"/>
    <col min="2" max="2" width="28.7109375" style="0" customWidth="1"/>
    <col min="3" max="3" width="29.28125" style="0" customWidth="1"/>
    <col min="4" max="4" width="14.7109375" style="0" customWidth="1"/>
    <col min="5" max="5" width="15.7109375" style="7" customWidth="1"/>
    <col min="6" max="6" width="20.7109375" style="0" customWidth="1"/>
    <col min="7" max="7" width="60.7109375" style="15" customWidth="1"/>
    <col min="8" max="9" width="15.7109375" style="0" customWidth="1"/>
    <col min="10" max="10" width="14.421875" style="0" customWidth="1"/>
    <col min="11" max="11" width="14.421875" style="21" customWidth="1"/>
    <col min="12" max="12" width="60.8515625" style="0" customWidth="1"/>
  </cols>
  <sheetData>
    <row r="1" spans="1:12" ht="38.25">
      <c r="A1" s="12" t="s">
        <v>2</v>
      </c>
      <c r="B1" s="13" t="s">
        <v>979</v>
      </c>
      <c r="C1" s="13" t="s">
        <v>977</v>
      </c>
      <c r="D1" s="13" t="s">
        <v>990</v>
      </c>
      <c r="E1" s="12" t="s">
        <v>0</v>
      </c>
      <c r="F1" s="14" t="s">
        <v>3</v>
      </c>
      <c r="G1" s="14" t="s">
        <v>4</v>
      </c>
      <c r="H1" s="14" t="s">
        <v>1</v>
      </c>
      <c r="I1" s="14" t="s">
        <v>6</v>
      </c>
      <c r="J1" s="14" t="s">
        <v>7</v>
      </c>
      <c r="K1" s="19" t="s">
        <v>989</v>
      </c>
      <c r="L1" s="14" t="s">
        <v>10</v>
      </c>
    </row>
    <row r="2" spans="1:12" ht="12.75">
      <c r="A2" s="3" t="s">
        <v>663</v>
      </c>
      <c r="B2" s="1" t="s">
        <v>881</v>
      </c>
      <c r="C2" s="1" t="s">
        <v>861</v>
      </c>
      <c r="D2" s="17" t="s">
        <v>248</v>
      </c>
      <c r="E2" s="6" t="str">
        <f>HYPERLINK("https://www.bioscidb.com/browse/deal_bg/15568","Link")</f>
        <v>Link</v>
      </c>
      <c r="F2" s="1" t="s">
        <v>27</v>
      </c>
      <c r="G2" s="16" t="s">
        <v>882</v>
      </c>
      <c r="H2" s="4" t="s">
        <v>14</v>
      </c>
      <c r="I2" s="4" t="s">
        <v>14</v>
      </c>
      <c r="J2" s="4" t="s">
        <v>14</v>
      </c>
      <c r="K2" s="20"/>
      <c r="L2" s="1" t="s">
        <v>883</v>
      </c>
    </row>
    <row r="3" spans="1:12" ht="12.75">
      <c r="A3" s="3" t="s">
        <v>523</v>
      </c>
      <c r="B3" s="1" t="s">
        <v>524</v>
      </c>
      <c r="C3" s="1" t="s">
        <v>361</v>
      </c>
      <c r="D3" s="1" t="s">
        <v>248</v>
      </c>
      <c r="E3" s="6" t="str">
        <f>HYPERLINK("https://www.bioscidb.com/browse/deal_bg/8478","Link")</f>
        <v>Link</v>
      </c>
      <c r="F3" s="1" t="s">
        <v>69</v>
      </c>
      <c r="G3" s="16" t="s">
        <v>30</v>
      </c>
      <c r="H3" s="4">
        <v>600</v>
      </c>
      <c r="I3" s="4">
        <v>225</v>
      </c>
      <c r="J3" s="4" t="s">
        <v>14</v>
      </c>
      <c r="K3" s="20">
        <f>I3/H3</f>
        <v>0.375</v>
      </c>
      <c r="L3" s="1" t="s">
        <v>525</v>
      </c>
    </row>
    <row r="4" spans="1:12" ht="12.75">
      <c r="A4" s="3" t="s">
        <v>124</v>
      </c>
      <c r="B4" s="1" t="s">
        <v>249</v>
      </c>
      <c r="C4" s="1" t="s">
        <v>108</v>
      </c>
      <c r="D4" s="1" t="s">
        <v>248</v>
      </c>
      <c r="E4" s="6" t="str">
        <f>HYPERLINK("https://www.bioscidb.com/browse/deal_bg/9333","Link")</f>
        <v>Link</v>
      </c>
      <c r="F4" s="1" t="s">
        <v>45</v>
      </c>
      <c r="G4" s="16" t="s">
        <v>30</v>
      </c>
      <c r="H4" s="4">
        <v>120</v>
      </c>
      <c r="I4" s="4">
        <v>91</v>
      </c>
      <c r="J4" s="4" t="s">
        <v>14</v>
      </c>
      <c r="K4" s="20">
        <f>I4/H4</f>
        <v>0.7583333333333333</v>
      </c>
      <c r="L4" s="1" t="s">
        <v>250</v>
      </c>
    </row>
    <row r="5" spans="1:12" ht="12.75">
      <c r="A5" s="3" t="s">
        <v>623</v>
      </c>
      <c r="B5" s="1" t="s">
        <v>624</v>
      </c>
      <c r="C5" s="1" t="s">
        <v>625</v>
      </c>
      <c r="D5" s="17" t="s">
        <v>986</v>
      </c>
      <c r="E5" s="6" t="str">
        <f>HYPERLINK("https://www.bioscidb.com/browse/deal_bg/11217","Link")</f>
        <v>Link</v>
      </c>
      <c r="F5" s="1" t="s">
        <v>69</v>
      </c>
      <c r="G5" s="16" t="s">
        <v>100</v>
      </c>
      <c r="H5" s="4">
        <v>290</v>
      </c>
      <c r="I5" s="4" t="s">
        <v>14</v>
      </c>
      <c r="J5" s="4" t="s">
        <v>14</v>
      </c>
      <c r="K5" s="20"/>
      <c r="L5" s="1" t="s">
        <v>626</v>
      </c>
    </row>
    <row r="6" spans="1:12" ht="25.5">
      <c r="A6" s="3" t="s">
        <v>591</v>
      </c>
      <c r="B6" s="1" t="s">
        <v>700</v>
      </c>
      <c r="C6" s="1" t="s">
        <v>701</v>
      </c>
      <c r="D6" s="17" t="s">
        <v>986</v>
      </c>
      <c r="E6" s="6" t="str">
        <f>HYPERLINK("https://www.bioscidb.com/browse/deal_bg/10071","Link")</f>
        <v>Link</v>
      </c>
      <c r="F6" s="1" t="s">
        <v>45</v>
      </c>
      <c r="G6" s="16" t="s">
        <v>702</v>
      </c>
      <c r="H6" s="4">
        <v>119.6</v>
      </c>
      <c r="I6" s="4" t="s">
        <v>14</v>
      </c>
      <c r="J6" s="4">
        <v>41.1</v>
      </c>
      <c r="K6" s="20">
        <f>J6/H6</f>
        <v>0.3436454849498328</v>
      </c>
      <c r="L6" s="1" t="s">
        <v>703</v>
      </c>
    </row>
    <row r="7" spans="1:12" ht="12.75">
      <c r="A7" s="3" t="s">
        <v>224</v>
      </c>
      <c r="B7" s="1" t="s">
        <v>367</v>
      </c>
      <c r="C7" s="1" t="s">
        <v>247</v>
      </c>
      <c r="D7" s="17" t="s">
        <v>986</v>
      </c>
      <c r="E7" s="6" t="str">
        <f>HYPERLINK("https://www.bioscidb.com/browse/deal_bg/4669","Link")</f>
        <v>Link</v>
      </c>
      <c r="F7" s="1" t="s">
        <v>69</v>
      </c>
      <c r="G7" s="16" t="s">
        <v>30</v>
      </c>
      <c r="H7" s="4">
        <v>144</v>
      </c>
      <c r="I7" s="4">
        <v>10</v>
      </c>
      <c r="J7" s="4" t="s">
        <v>14</v>
      </c>
      <c r="K7" s="20">
        <f>I7/H7</f>
        <v>0.06944444444444445</v>
      </c>
      <c r="L7" s="1" t="s">
        <v>368</v>
      </c>
    </row>
    <row r="8" spans="1:12" ht="12.75">
      <c r="A8" s="3" t="s">
        <v>34</v>
      </c>
      <c r="B8" s="1" t="s">
        <v>35</v>
      </c>
      <c r="C8" s="1" t="s">
        <v>29</v>
      </c>
      <c r="D8" s="17" t="s">
        <v>986</v>
      </c>
      <c r="E8" s="6" t="str">
        <f>HYPERLINK("https://www.bioscidb.com/browse/deal_bg/292","Link")</f>
        <v>Link</v>
      </c>
      <c r="F8" s="1" t="s">
        <v>27</v>
      </c>
      <c r="G8" s="16" t="s">
        <v>30</v>
      </c>
      <c r="H8" s="4">
        <v>15.9</v>
      </c>
      <c r="I8" s="4" t="s">
        <v>14</v>
      </c>
      <c r="J8" s="4" t="s">
        <v>14</v>
      </c>
      <c r="K8" s="20"/>
      <c r="L8" s="1" t="s">
        <v>14</v>
      </c>
    </row>
    <row r="9" spans="1:12" ht="12.75">
      <c r="A9" s="3" t="s">
        <v>36</v>
      </c>
      <c r="B9" s="1" t="s">
        <v>37</v>
      </c>
      <c r="C9" s="1" t="s">
        <v>29</v>
      </c>
      <c r="D9" s="17" t="s">
        <v>986</v>
      </c>
      <c r="E9" s="6" t="str">
        <f>HYPERLINK("https://www.bioscidb.com/browse/deal_bg/293","Link")</f>
        <v>Link</v>
      </c>
      <c r="F9" s="1" t="s">
        <v>27</v>
      </c>
      <c r="G9" s="16" t="s">
        <v>38</v>
      </c>
      <c r="H9" s="4">
        <v>18.6</v>
      </c>
      <c r="I9" s="4" t="s">
        <v>14</v>
      </c>
      <c r="J9" s="4" t="s">
        <v>14</v>
      </c>
      <c r="K9" s="20"/>
      <c r="L9" s="1" t="s">
        <v>14</v>
      </c>
    </row>
    <row r="10" spans="1:12" ht="12.75">
      <c r="A10" s="3" t="s">
        <v>277</v>
      </c>
      <c r="B10" s="1" t="s">
        <v>278</v>
      </c>
      <c r="C10" s="1" t="s">
        <v>279</v>
      </c>
      <c r="D10" s="17" t="s">
        <v>986</v>
      </c>
      <c r="E10" s="6" t="str">
        <f>HYPERLINK("https://www.bioscidb.com/browse/deal_bg/11049","Link")</f>
        <v>Link</v>
      </c>
      <c r="F10" s="1" t="s">
        <v>27</v>
      </c>
      <c r="G10" s="16" t="s">
        <v>206</v>
      </c>
      <c r="H10" s="4">
        <v>10</v>
      </c>
      <c r="I10" s="4" t="s">
        <v>14</v>
      </c>
      <c r="J10" s="4" t="s">
        <v>14</v>
      </c>
      <c r="K10" s="20"/>
      <c r="L10" s="1" t="s">
        <v>14</v>
      </c>
    </row>
    <row r="11" spans="1:12" ht="25.5">
      <c r="A11" s="3" t="s">
        <v>869</v>
      </c>
      <c r="B11" s="1" t="s">
        <v>877</v>
      </c>
      <c r="C11" s="1" t="s">
        <v>878</v>
      </c>
      <c r="D11" s="1" t="s">
        <v>90</v>
      </c>
      <c r="E11" s="6" t="str">
        <f>HYPERLINK("https://www.bioscidb.com/browse/deal_bg/14879","Link")</f>
        <v>Link</v>
      </c>
      <c r="F11" s="1" t="s">
        <v>27</v>
      </c>
      <c r="G11" s="16" t="s">
        <v>879</v>
      </c>
      <c r="H11" s="4">
        <v>93</v>
      </c>
      <c r="I11" s="4" t="s">
        <v>14</v>
      </c>
      <c r="J11" s="4">
        <v>5</v>
      </c>
      <c r="K11" s="20">
        <f>J11/H11</f>
        <v>0.053763440860215055</v>
      </c>
      <c r="L11" s="1" t="s">
        <v>880</v>
      </c>
    </row>
    <row r="12" spans="1:12" ht="12.75">
      <c r="A12" s="3" t="s">
        <v>865</v>
      </c>
      <c r="B12" s="1" t="s">
        <v>866</v>
      </c>
      <c r="C12" s="1" t="s">
        <v>609</v>
      </c>
      <c r="D12" s="1" t="s">
        <v>90</v>
      </c>
      <c r="E12" s="6" t="str">
        <f>HYPERLINK("https://www.bioscidb.com/browse/deal_bg/14734","Link")</f>
        <v>Link</v>
      </c>
      <c r="F12" s="1" t="s">
        <v>45</v>
      </c>
      <c r="G12" s="16" t="s">
        <v>867</v>
      </c>
      <c r="H12" s="4">
        <v>1047</v>
      </c>
      <c r="I12" s="4">
        <v>319.3</v>
      </c>
      <c r="J12" s="4" t="s">
        <v>14</v>
      </c>
      <c r="K12" s="20">
        <f>I12/H12</f>
        <v>0.30496657115568293</v>
      </c>
      <c r="L12" s="1" t="s">
        <v>868</v>
      </c>
    </row>
    <row r="13" spans="1:12" ht="12.75">
      <c r="A13" s="3" t="s">
        <v>710</v>
      </c>
      <c r="B13" s="1" t="s">
        <v>856</v>
      </c>
      <c r="C13" s="1" t="s">
        <v>857</v>
      </c>
      <c r="D13" s="1" t="s">
        <v>90</v>
      </c>
      <c r="E13" s="6" t="str">
        <f>HYPERLINK("https://www.bioscidb.com/browse/deal_bg/13339","Link")</f>
        <v>Link</v>
      </c>
      <c r="F13" s="1" t="s">
        <v>45</v>
      </c>
      <c r="G13" s="16" t="s">
        <v>858</v>
      </c>
      <c r="H13" s="4">
        <v>11</v>
      </c>
      <c r="I13" s="4">
        <v>4</v>
      </c>
      <c r="J13" s="4" t="s">
        <v>14</v>
      </c>
      <c r="K13" s="20">
        <f>I13/H13</f>
        <v>0.36363636363636365</v>
      </c>
      <c r="L13" s="1" t="s">
        <v>859</v>
      </c>
    </row>
    <row r="14" spans="1:12" ht="25.5">
      <c r="A14" s="3" t="s">
        <v>705</v>
      </c>
      <c r="B14" s="1" t="s">
        <v>706</v>
      </c>
      <c r="C14" s="1" t="s">
        <v>707</v>
      </c>
      <c r="D14" s="17" t="s">
        <v>90</v>
      </c>
      <c r="E14" s="6" t="str">
        <f>HYPERLINK("https://www.bioscidb.com/browse/deal_bg/13084","Link")</f>
        <v>Link</v>
      </c>
      <c r="F14" s="1" t="s">
        <v>45</v>
      </c>
      <c r="G14" s="16" t="s">
        <v>708</v>
      </c>
      <c r="H14" s="4">
        <v>425</v>
      </c>
      <c r="I14" s="4">
        <v>60</v>
      </c>
      <c r="J14" s="4" t="s">
        <v>14</v>
      </c>
      <c r="K14" s="20">
        <f>I14/H14</f>
        <v>0.1411764705882353</v>
      </c>
      <c r="L14" s="1" t="s">
        <v>709</v>
      </c>
    </row>
    <row r="15" spans="1:12" ht="12.75">
      <c r="A15" s="3" t="s">
        <v>658</v>
      </c>
      <c r="B15" s="1" t="s">
        <v>659</v>
      </c>
      <c r="C15" s="1" t="s">
        <v>660</v>
      </c>
      <c r="D15" s="1" t="s">
        <v>90</v>
      </c>
      <c r="E15" s="6" t="str">
        <f>HYPERLINK("https://www.bioscidb.com/browse/deal_bg/12282","Link")</f>
        <v>Link</v>
      </c>
      <c r="F15" s="1" t="s">
        <v>69</v>
      </c>
      <c r="G15" s="16" t="s">
        <v>30</v>
      </c>
      <c r="H15" s="4">
        <v>472</v>
      </c>
      <c r="I15" s="4">
        <v>150</v>
      </c>
      <c r="J15" s="4" t="s">
        <v>14</v>
      </c>
      <c r="K15" s="20">
        <f>I15/H15</f>
        <v>0.3177966101694915</v>
      </c>
      <c r="L15" s="1" t="s">
        <v>661</v>
      </c>
    </row>
    <row r="16" spans="1:12" ht="12.75">
      <c r="A16" s="3" t="s">
        <v>645</v>
      </c>
      <c r="B16" s="1" t="s">
        <v>646</v>
      </c>
      <c r="C16" s="1" t="s">
        <v>29</v>
      </c>
      <c r="D16" s="17" t="s">
        <v>90</v>
      </c>
      <c r="E16" s="6" t="str">
        <f>HYPERLINK("https://www.bioscidb.com/browse/deal_bg/11871","Link")</f>
        <v>Link</v>
      </c>
      <c r="F16" s="1" t="s">
        <v>27</v>
      </c>
      <c r="G16" s="16" t="s">
        <v>30</v>
      </c>
      <c r="H16" s="4">
        <v>35.5</v>
      </c>
      <c r="I16" s="4">
        <v>25</v>
      </c>
      <c r="J16" s="4" t="s">
        <v>14</v>
      </c>
      <c r="K16" s="20">
        <f>I16/H16</f>
        <v>0.704225352112676</v>
      </c>
      <c r="L16" s="1" t="s">
        <v>647</v>
      </c>
    </row>
    <row r="17" spans="1:12" ht="12.75">
      <c r="A17" s="3" t="s">
        <v>654</v>
      </c>
      <c r="B17" s="1" t="s">
        <v>655</v>
      </c>
      <c r="C17" s="1" t="s">
        <v>656</v>
      </c>
      <c r="D17" s="1" t="s">
        <v>90</v>
      </c>
      <c r="E17" s="6" t="str">
        <f>HYPERLINK("https://www.bioscidb.com/browse/deal_bg/11502","Link")</f>
        <v>Link</v>
      </c>
      <c r="F17" s="1" t="s">
        <v>45</v>
      </c>
      <c r="G17" s="16" t="s">
        <v>100</v>
      </c>
      <c r="H17" s="4">
        <v>100</v>
      </c>
      <c r="I17" s="4">
        <v>10</v>
      </c>
      <c r="J17" s="4">
        <v>10</v>
      </c>
      <c r="K17" s="20">
        <f>(I17+J17)/H17</f>
        <v>0.2</v>
      </c>
      <c r="L17" s="1" t="s">
        <v>657</v>
      </c>
    </row>
    <row r="18" spans="1:12" ht="12.75">
      <c r="A18" s="3" t="s">
        <v>627</v>
      </c>
      <c r="B18" s="1" t="s">
        <v>628</v>
      </c>
      <c r="C18" s="1" t="s">
        <v>629</v>
      </c>
      <c r="D18" s="17" t="s">
        <v>90</v>
      </c>
      <c r="E18" s="6" t="str">
        <f>HYPERLINK("https://www.bioscidb.com/browse/deal_bg/10880","Link")</f>
        <v>Link</v>
      </c>
      <c r="F18" s="1" t="s">
        <v>45</v>
      </c>
      <c r="G18" s="16" t="s">
        <v>630</v>
      </c>
      <c r="H18" s="4">
        <v>48.65</v>
      </c>
      <c r="I18" s="4">
        <v>0.35</v>
      </c>
      <c r="J18" s="4" t="s">
        <v>14</v>
      </c>
      <c r="K18" s="20">
        <f>I18/H18</f>
        <v>0.007194244604316546</v>
      </c>
      <c r="L18" s="1" t="s">
        <v>631</v>
      </c>
    </row>
    <row r="19" spans="1:12" ht="12.75">
      <c r="A19" s="3" t="s">
        <v>594</v>
      </c>
      <c r="B19" s="1" t="s">
        <v>595</v>
      </c>
      <c r="C19" s="1" t="s">
        <v>71</v>
      </c>
      <c r="D19" s="1" t="s">
        <v>90</v>
      </c>
      <c r="E19" s="6" t="str">
        <f>HYPERLINK("https://www.bioscidb.com/browse/deal_bg/10258","Link")</f>
        <v>Link</v>
      </c>
      <c r="F19" s="1" t="s">
        <v>69</v>
      </c>
      <c r="G19" s="16" t="s">
        <v>30</v>
      </c>
      <c r="H19" s="4">
        <v>775</v>
      </c>
      <c r="I19" s="4">
        <v>300</v>
      </c>
      <c r="J19" s="4" t="s">
        <v>14</v>
      </c>
      <c r="K19" s="20">
        <f>I19/H19</f>
        <v>0.3870967741935484</v>
      </c>
      <c r="L19" s="1" t="s">
        <v>596</v>
      </c>
    </row>
    <row r="20" spans="1:12" ht="12.75">
      <c r="A20" s="3" t="s">
        <v>513</v>
      </c>
      <c r="B20" s="1" t="s">
        <v>514</v>
      </c>
      <c r="C20" s="1" t="s">
        <v>262</v>
      </c>
      <c r="D20" s="1" t="s">
        <v>90</v>
      </c>
      <c r="E20" s="6" t="str">
        <f>HYPERLINK("https://www.bioscidb.com/browse/deal_bg/7817","Link")</f>
        <v>Link</v>
      </c>
      <c r="F20" s="1" t="s">
        <v>69</v>
      </c>
      <c r="G20" s="16" t="s">
        <v>30</v>
      </c>
      <c r="H20" s="4">
        <v>400</v>
      </c>
      <c r="I20" s="4">
        <v>150</v>
      </c>
      <c r="J20" s="4" t="s">
        <v>14</v>
      </c>
      <c r="K20" s="20">
        <f>I20/H20</f>
        <v>0.375</v>
      </c>
      <c r="L20" s="1" t="s">
        <v>515</v>
      </c>
    </row>
    <row r="21" spans="1:12" ht="12.75">
      <c r="A21" s="3" t="s">
        <v>424</v>
      </c>
      <c r="B21" s="1" t="s">
        <v>425</v>
      </c>
      <c r="C21" s="1" t="s">
        <v>361</v>
      </c>
      <c r="D21" s="1" t="s">
        <v>90</v>
      </c>
      <c r="E21" s="6" t="str">
        <f>HYPERLINK("https://www.bioscidb.com/browse/deal_bg/4686","Link")</f>
        <v>Link</v>
      </c>
      <c r="F21" s="1" t="s">
        <v>69</v>
      </c>
      <c r="G21" s="16" t="s">
        <v>30</v>
      </c>
      <c r="H21" s="4">
        <v>1250</v>
      </c>
      <c r="I21" s="4">
        <v>800</v>
      </c>
      <c r="J21" s="4" t="s">
        <v>14</v>
      </c>
      <c r="K21" s="20">
        <f>I21/H21</f>
        <v>0.64</v>
      </c>
      <c r="L21" s="1" t="s">
        <v>426</v>
      </c>
    </row>
    <row r="22" spans="1:12" ht="12.75">
      <c r="A22" s="3" t="s">
        <v>401</v>
      </c>
      <c r="B22" s="1" t="s">
        <v>483</v>
      </c>
      <c r="C22" s="1" t="s">
        <v>484</v>
      </c>
      <c r="D22" s="1" t="s">
        <v>90</v>
      </c>
      <c r="E22" s="6" t="str">
        <f>HYPERLINK("https://www.bioscidb.com/browse/deal_bg/11055","Link")</f>
        <v>Link</v>
      </c>
      <c r="F22" s="1" t="s">
        <v>45</v>
      </c>
      <c r="G22" s="16" t="s">
        <v>485</v>
      </c>
      <c r="H22" s="4">
        <v>10.2</v>
      </c>
      <c r="I22" s="4">
        <v>0.5</v>
      </c>
      <c r="J22" s="4" t="s">
        <v>14</v>
      </c>
      <c r="K22" s="20">
        <f>I22/H22</f>
        <v>0.04901960784313726</v>
      </c>
      <c r="L22" s="1" t="s">
        <v>14</v>
      </c>
    </row>
    <row r="23" spans="1:12" ht="12.75">
      <c r="A23" s="3" t="s">
        <v>384</v>
      </c>
      <c r="B23" s="1" t="s">
        <v>385</v>
      </c>
      <c r="C23" s="1" t="s">
        <v>386</v>
      </c>
      <c r="D23" s="1" t="s">
        <v>90</v>
      </c>
      <c r="E23" s="6" t="str">
        <f>HYPERLINK("https://www.bioscidb.com/browse/deal_bg/3203","Link")</f>
        <v>Link</v>
      </c>
      <c r="F23" s="1" t="s">
        <v>45</v>
      </c>
      <c r="G23" s="16" t="s">
        <v>100</v>
      </c>
      <c r="H23" s="4">
        <v>159</v>
      </c>
      <c r="I23" s="4" t="s">
        <v>14</v>
      </c>
      <c r="J23" s="4">
        <v>24</v>
      </c>
      <c r="K23" s="20">
        <f>J23/H23</f>
        <v>0.1509433962264151</v>
      </c>
      <c r="L23" s="1" t="s">
        <v>14</v>
      </c>
    </row>
    <row r="24" spans="1:12" ht="12.75">
      <c r="A24" s="3" t="s">
        <v>137</v>
      </c>
      <c r="B24" s="1" t="s">
        <v>379</v>
      </c>
      <c r="C24" s="1" t="s">
        <v>380</v>
      </c>
      <c r="D24" s="1" t="s">
        <v>90</v>
      </c>
      <c r="E24" s="6" t="str">
        <f>HYPERLINK("https://www.bioscidb.com/browse/deal_bg/1910","Link")</f>
        <v>Link</v>
      </c>
      <c r="F24" s="1" t="s">
        <v>45</v>
      </c>
      <c r="G24" s="16" t="s">
        <v>381</v>
      </c>
      <c r="H24" s="4">
        <v>314</v>
      </c>
      <c r="I24" s="4">
        <v>25</v>
      </c>
      <c r="J24" s="4">
        <v>174</v>
      </c>
      <c r="K24" s="20">
        <f>(I24+J24)/H24</f>
        <v>0.6337579617834395</v>
      </c>
      <c r="L24" s="1" t="s">
        <v>382</v>
      </c>
    </row>
    <row r="25" spans="1:12" ht="12.75">
      <c r="A25" s="3" t="s">
        <v>127</v>
      </c>
      <c r="B25" s="1" t="s">
        <v>204</v>
      </c>
      <c r="C25" s="1" t="s">
        <v>205</v>
      </c>
      <c r="D25" s="17" t="s">
        <v>90</v>
      </c>
      <c r="E25" s="6" t="str">
        <f>HYPERLINK("https://www.bioscidb.com/browse/deal_bg/1741","Link")</f>
        <v>Link</v>
      </c>
      <c r="F25" s="1" t="s">
        <v>45</v>
      </c>
      <c r="G25" s="16" t="s">
        <v>206</v>
      </c>
      <c r="H25" s="4">
        <v>130</v>
      </c>
      <c r="I25" s="4" t="s">
        <v>14</v>
      </c>
      <c r="J25" s="4">
        <v>15</v>
      </c>
      <c r="K25" s="20">
        <f>J25/H25</f>
        <v>0.11538461538461539</v>
      </c>
      <c r="L25" s="1" t="s">
        <v>207</v>
      </c>
    </row>
    <row r="26" spans="1:12" ht="12.75">
      <c r="A26" s="3" t="s">
        <v>115</v>
      </c>
      <c r="B26" s="1" t="s">
        <v>119</v>
      </c>
      <c r="C26" s="1" t="s">
        <v>120</v>
      </c>
      <c r="D26" s="1" t="s">
        <v>90</v>
      </c>
      <c r="E26" s="6" t="str">
        <f>HYPERLINK("https://www.bioscidb.com/browse/deal_bg/1604","Link")</f>
        <v>Link</v>
      </c>
      <c r="F26" s="1" t="s">
        <v>69</v>
      </c>
      <c r="G26" s="16" t="s">
        <v>121</v>
      </c>
      <c r="H26" s="4">
        <v>300</v>
      </c>
      <c r="I26" s="4" t="s">
        <v>14</v>
      </c>
      <c r="J26" s="4" t="s">
        <v>14</v>
      </c>
      <c r="K26" s="20"/>
      <c r="L26" s="1" t="s">
        <v>122</v>
      </c>
    </row>
    <row r="27" spans="1:12" ht="12.75">
      <c r="A27" s="3" t="s">
        <v>115</v>
      </c>
      <c r="B27" s="1" t="s">
        <v>116</v>
      </c>
      <c r="C27" s="1" t="s">
        <v>93</v>
      </c>
      <c r="D27" s="1" t="s">
        <v>90</v>
      </c>
      <c r="E27" s="6" t="str">
        <f>HYPERLINK("https://www.bioscidb.com/browse/deal_bg/1557","Link")</f>
        <v>Link</v>
      </c>
      <c r="F27" s="1" t="s">
        <v>69</v>
      </c>
      <c r="G27" s="16" t="s">
        <v>30</v>
      </c>
      <c r="H27" s="4">
        <v>440</v>
      </c>
      <c r="I27" s="4">
        <v>200</v>
      </c>
      <c r="J27" s="4" t="s">
        <v>14</v>
      </c>
      <c r="K27" s="20">
        <f>I27/H27</f>
        <v>0.45454545454545453</v>
      </c>
      <c r="L27" s="1" t="s">
        <v>14</v>
      </c>
    </row>
    <row r="28" spans="1:12" ht="12.75">
      <c r="A28" s="3" t="s">
        <v>91</v>
      </c>
      <c r="B28" s="1" t="s">
        <v>92</v>
      </c>
      <c r="C28" s="1" t="s">
        <v>93</v>
      </c>
      <c r="D28" s="1" t="s">
        <v>90</v>
      </c>
      <c r="E28" s="6" t="str">
        <f>HYPERLINK("https://www.bioscidb.com/browse/deal_bg/1182","Link")</f>
        <v>Link</v>
      </c>
      <c r="F28" s="1" t="s">
        <v>69</v>
      </c>
      <c r="G28" s="16" t="s">
        <v>30</v>
      </c>
      <c r="H28" s="4">
        <v>500</v>
      </c>
      <c r="I28" s="4">
        <v>225</v>
      </c>
      <c r="J28" s="4" t="s">
        <v>14</v>
      </c>
      <c r="K28" s="20">
        <f>I28/H28</f>
        <v>0.45</v>
      </c>
      <c r="L28" s="1" t="s">
        <v>94</v>
      </c>
    </row>
    <row r="29" spans="1:12" ht="12.75">
      <c r="A29" s="3" t="s">
        <v>270</v>
      </c>
      <c r="B29" s="1" t="s">
        <v>356</v>
      </c>
      <c r="C29" s="1" t="s">
        <v>357</v>
      </c>
      <c r="D29" s="1" t="s">
        <v>90</v>
      </c>
      <c r="E29" s="6" t="str">
        <f>HYPERLINK("https://www.bioscidb.com/browse/deal_bg/5466","Link")</f>
        <v>Link</v>
      </c>
      <c r="F29" s="1" t="s">
        <v>69</v>
      </c>
      <c r="G29" s="16" t="s">
        <v>358</v>
      </c>
      <c r="H29" s="4">
        <v>427.5</v>
      </c>
      <c r="I29" s="4">
        <v>32.5</v>
      </c>
      <c r="J29" s="4" t="s">
        <v>14</v>
      </c>
      <c r="K29" s="20">
        <f>I29/H29</f>
        <v>0.07602339181286549</v>
      </c>
      <c r="L29" s="1" t="s">
        <v>359</v>
      </c>
    </row>
    <row r="30" spans="1:12" ht="12.75">
      <c r="A30" s="3" t="s">
        <v>245</v>
      </c>
      <c r="B30" s="1" t="s">
        <v>246</v>
      </c>
      <c r="C30" s="1" t="s">
        <v>247</v>
      </c>
      <c r="D30" s="17" t="s">
        <v>90</v>
      </c>
      <c r="E30" s="6" t="str">
        <f>HYPERLINK("https://www.bioscidb.com/browse/deal_bg/4670","Link")</f>
        <v>Link</v>
      </c>
      <c r="F30" s="1" t="s">
        <v>45</v>
      </c>
      <c r="G30" s="16" t="s">
        <v>30</v>
      </c>
      <c r="H30" s="4">
        <v>115</v>
      </c>
      <c r="I30" s="4">
        <v>22</v>
      </c>
      <c r="J30" s="4" t="s">
        <v>14</v>
      </c>
      <c r="K30" s="20">
        <f>I30/H30</f>
        <v>0.19130434782608696</v>
      </c>
      <c r="L30" s="1" t="s">
        <v>14</v>
      </c>
    </row>
    <row r="31" spans="1:12" ht="12.75">
      <c r="A31" s="3" t="s">
        <v>959</v>
      </c>
      <c r="B31" s="1" t="s">
        <v>960</v>
      </c>
      <c r="C31" s="1" t="s">
        <v>247</v>
      </c>
      <c r="D31" s="17" t="s">
        <v>90</v>
      </c>
      <c r="E31" s="6" t="str">
        <f>HYPERLINK("https://www.bioscidb.com/browse/deal_bg/4662","Link")</f>
        <v>Link</v>
      </c>
      <c r="F31" s="1" t="s">
        <v>15</v>
      </c>
      <c r="G31" s="16" t="s">
        <v>30</v>
      </c>
      <c r="H31" s="4">
        <v>83</v>
      </c>
      <c r="I31" s="4">
        <v>15</v>
      </c>
      <c r="J31" s="4" t="s">
        <v>14</v>
      </c>
      <c r="K31" s="20">
        <f>I31/H31</f>
        <v>0.18072289156626506</v>
      </c>
      <c r="L31" s="1" t="s">
        <v>961</v>
      </c>
    </row>
    <row r="32" spans="1:12" ht="12.75">
      <c r="A32" s="3" t="s">
        <v>39</v>
      </c>
      <c r="B32" s="1" t="s">
        <v>40</v>
      </c>
      <c r="C32" s="1" t="s">
        <v>29</v>
      </c>
      <c r="D32" s="1" t="s">
        <v>90</v>
      </c>
      <c r="E32" s="6" t="str">
        <f>HYPERLINK("https://www.bioscidb.com/browse/deal_bg/295","Link")</f>
        <v>Link</v>
      </c>
      <c r="F32" s="1" t="s">
        <v>27</v>
      </c>
      <c r="G32" s="16" t="s">
        <v>38</v>
      </c>
      <c r="H32" s="4">
        <v>70</v>
      </c>
      <c r="I32" s="4" t="s">
        <v>14</v>
      </c>
      <c r="J32" s="4">
        <v>55</v>
      </c>
      <c r="K32" s="20">
        <f>J32/H32</f>
        <v>0.7857142857142857</v>
      </c>
      <c r="L32" s="1" t="s">
        <v>41</v>
      </c>
    </row>
    <row r="33" spans="1:12" ht="25.5">
      <c r="A33" s="3" t="s">
        <v>749</v>
      </c>
      <c r="B33" s="1" t="s">
        <v>750</v>
      </c>
      <c r="C33" s="1" t="s">
        <v>268</v>
      </c>
      <c r="D33" s="1" t="s">
        <v>90</v>
      </c>
      <c r="E33" s="6" t="str">
        <f>HYPERLINK("https://www.bioscidb.com/browse/deal_bg/14294","Link")</f>
        <v>Link</v>
      </c>
      <c r="F33" s="1" t="s">
        <v>15</v>
      </c>
      <c r="G33" s="16" t="s">
        <v>751</v>
      </c>
      <c r="H33" s="4">
        <v>70</v>
      </c>
      <c r="I33" s="4">
        <v>20.3</v>
      </c>
      <c r="J33" s="4" t="s">
        <v>14</v>
      </c>
      <c r="K33" s="20">
        <f>I33/H33</f>
        <v>0.29000000000000004</v>
      </c>
      <c r="L33" s="1" t="s">
        <v>752</v>
      </c>
    </row>
    <row r="34" spans="1:12" ht="12.75">
      <c r="A34" s="3" t="s">
        <v>452</v>
      </c>
      <c r="B34" s="1" t="s">
        <v>453</v>
      </c>
      <c r="C34" s="1" t="s">
        <v>454</v>
      </c>
      <c r="D34" s="1" t="s">
        <v>90</v>
      </c>
      <c r="E34" s="6" t="str">
        <f>HYPERLINK("https://www.bioscidb.com/browse/deal_bg/6839","Link")</f>
        <v>Link</v>
      </c>
      <c r="F34" s="1" t="s">
        <v>15</v>
      </c>
      <c r="G34" s="16" t="s">
        <v>30</v>
      </c>
      <c r="H34" s="4">
        <v>340.5</v>
      </c>
      <c r="I34" s="4">
        <v>9</v>
      </c>
      <c r="J34" s="4" t="s">
        <v>14</v>
      </c>
      <c r="K34" s="20">
        <f>I34/H34</f>
        <v>0.02643171806167401</v>
      </c>
      <c r="L34" s="1" t="s">
        <v>455</v>
      </c>
    </row>
    <row r="35" spans="1:12" ht="12.75">
      <c r="A35" s="3" t="s">
        <v>97</v>
      </c>
      <c r="B35" s="1" t="s">
        <v>98</v>
      </c>
      <c r="C35" s="1" t="s">
        <v>99</v>
      </c>
      <c r="D35" s="1" t="s">
        <v>90</v>
      </c>
      <c r="E35" s="6" t="str">
        <f>HYPERLINK("https://www.bioscidb.com/browse/deal_bg/1226","Link")</f>
        <v>Link</v>
      </c>
      <c r="F35" s="1" t="s">
        <v>69</v>
      </c>
      <c r="G35" s="16" t="s">
        <v>100</v>
      </c>
      <c r="H35" s="4">
        <v>40</v>
      </c>
      <c r="I35" s="4" t="s">
        <v>14</v>
      </c>
      <c r="J35" s="4" t="s">
        <v>14</v>
      </c>
      <c r="K35" s="20"/>
      <c r="L35" s="1" t="s">
        <v>14</v>
      </c>
    </row>
    <row r="36" spans="1:12" ht="12.75">
      <c r="A36" s="3"/>
      <c r="B36" s="1"/>
      <c r="C36" s="1"/>
      <c r="D36" s="1"/>
      <c r="E36" s="6"/>
      <c r="F36" s="1"/>
      <c r="G36" s="16"/>
      <c r="H36" s="4"/>
      <c r="I36" s="4"/>
      <c r="J36" s="4"/>
      <c r="K36" s="20"/>
      <c r="L36" s="1"/>
    </row>
    <row r="37" spans="1:12" ht="12.75">
      <c r="A37" s="3"/>
      <c r="B37" s="1"/>
      <c r="C37" s="1"/>
      <c r="D37" s="23" t="s">
        <v>993</v>
      </c>
      <c r="E37" s="6"/>
      <c r="F37" s="1"/>
      <c r="G37" s="16"/>
      <c r="H37" s="4">
        <f>AVERAGE(H2:H35)</f>
        <v>271.95303030303035</v>
      </c>
      <c r="I37" s="4">
        <f>AVERAGE(I2:I35)</f>
        <v>122.45227272727274</v>
      </c>
      <c r="J37" s="4">
        <f>AVERAGE(J2:J35)</f>
        <v>46.300000000000004</v>
      </c>
      <c r="K37" s="20">
        <f>AVERAGE(K2:K35)</f>
        <v>0.3127824726226806</v>
      </c>
      <c r="L37" s="1"/>
    </row>
    <row r="38" spans="1:12" ht="12.75">
      <c r="A38" s="3"/>
      <c r="B38" s="1"/>
      <c r="C38" s="1"/>
      <c r="D38" s="23" t="s">
        <v>994</v>
      </c>
      <c r="E38" s="6"/>
      <c r="F38" s="1"/>
      <c r="G38" s="16"/>
      <c r="H38" s="4">
        <f>MEDIAN(H2:H35)</f>
        <v>130</v>
      </c>
      <c r="I38" s="4">
        <f>MEDIAN(I2:I35)</f>
        <v>28.75</v>
      </c>
      <c r="J38" s="4">
        <f>MEDIAN(J2:J35)</f>
        <v>24</v>
      </c>
      <c r="K38" s="20">
        <f>MEDIAN(K2:K35)</f>
        <v>0.30496657115568293</v>
      </c>
      <c r="L38" s="1"/>
    </row>
    <row r="39" spans="1:12" ht="12.75">
      <c r="A39" s="3"/>
      <c r="B39" s="1"/>
      <c r="C39" s="1"/>
      <c r="D39" s="1"/>
      <c r="E39" s="6"/>
      <c r="F39" s="1"/>
      <c r="G39" s="16"/>
      <c r="H39" s="4"/>
      <c r="I39" s="4"/>
      <c r="J39" s="4"/>
      <c r="K39" s="20"/>
      <c r="L39" s="1"/>
    </row>
    <row r="40" spans="1:12" ht="25.5">
      <c r="A40" s="3" t="s">
        <v>921</v>
      </c>
      <c r="B40" s="1" t="s">
        <v>964</v>
      </c>
      <c r="C40" s="1" t="s">
        <v>900</v>
      </c>
      <c r="D40" s="1" t="s">
        <v>67</v>
      </c>
      <c r="E40" s="6" t="str">
        <f>HYPERLINK("https://www.bioscidb.com/browse/deal_bg/15606","Link")</f>
        <v>Link</v>
      </c>
      <c r="F40" s="1" t="s">
        <v>27</v>
      </c>
      <c r="G40" s="16" t="s">
        <v>965</v>
      </c>
      <c r="H40" s="4">
        <v>22.6</v>
      </c>
      <c r="I40" s="4" t="s">
        <v>14</v>
      </c>
      <c r="J40" s="4">
        <v>16.1</v>
      </c>
      <c r="K40" s="20">
        <f>J40/H40</f>
        <v>0.7123893805309734</v>
      </c>
      <c r="L40" s="1" t="s">
        <v>14</v>
      </c>
    </row>
    <row r="41" spans="1:12" ht="12.75">
      <c r="A41" s="3" t="s">
        <v>790</v>
      </c>
      <c r="B41" s="1" t="s">
        <v>802</v>
      </c>
      <c r="C41" s="1" t="s">
        <v>803</v>
      </c>
      <c r="D41" s="17" t="s">
        <v>67</v>
      </c>
      <c r="E41" s="6" t="str">
        <f>HYPERLINK("https://www.bioscidb.com/browse/deal_bg/14324","Link")</f>
        <v>Link</v>
      </c>
      <c r="F41" s="1" t="s">
        <v>27</v>
      </c>
      <c r="G41" s="16" t="s">
        <v>206</v>
      </c>
      <c r="H41" s="4">
        <v>29</v>
      </c>
      <c r="I41" s="4" t="s">
        <v>14</v>
      </c>
      <c r="J41" s="4">
        <v>29</v>
      </c>
      <c r="K41" s="20"/>
      <c r="L41" s="1" t="s">
        <v>804</v>
      </c>
    </row>
    <row r="42" spans="1:12" ht="12.75">
      <c r="A42" s="3" t="s">
        <v>762</v>
      </c>
      <c r="B42" s="1" t="s">
        <v>842</v>
      </c>
      <c r="C42" s="1" t="s">
        <v>47</v>
      </c>
      <c r="D42" s="17" t="s">
        <v>67</v>
      </c>
      <c r="E42" s="6" t="str">
        <f>HYPERLINK("https://www.bioscidb.com/browse/deal_bg/14200","Link")</f>
        <v>Link</v>
      </c>
      <c r="F42" s="1" t="s">
        <v>45</v>
      </c>
      <c r="G42" s="16" t="s">
        <v>843</v>
      </c>
      <c r="H42" s="4">
        <v>560</v>
      </c>
      <c r="I42" s="4" t="s">
        <v>14</v>
      </c>
      <c r="J42" s="4">
        <v>30</v>
      </c>
      <c r="K42" s="20">
        <f>J42/H42</f>
        <v>0.05357142857142857</v>
      </c>
      <c r="L42" s="1" t="s">
        <v>844</v>
      </c>
    </row>
    <row r="43" spans="1:12" ht="12.75">
      <c r="A43" s="3" t="s">
        <v>773</v>
      </c>
      <c r="B43" s="1" t="s">
        <v>784</v>
      </c>
      <c r="C43" s="1" t="s">
        <v>785</v>
      </c>
      <c r="D43" s="1" t="s">
        <v>67</v>
      </c>
      <c r="E43" s="6" t="str">
        <f>HYPERLINK("https://www.bioscidb.com/browse/deal_bg/14351","Link")</f>
        <v>Link</v>
      </c>
      <c r="F43" s="1" t="s">
        <v>27</v>
      </c>
      <c r="G43" s="16" t="s">
        <v>786</v>
      </c>
      <c r="H43" s="4">
        <v>137.4</v>
      </c>
      <c r="I43" s="4" t="s">
        <v>14</v>
      </c>
      <c r="J43" s="4">
        <v>57.4</v>
      </c>
      <c r="K43" s="20">
        <f>J43/H43</f>
        <v>0.4177583697234352</v>
      </c>
      <c r="L43" s="1" t="s">
        <v>787</v>
      </c>
    </row>
    <row r="44" spans="1:12" ht="25.5">
      <c r="A44" s="3" t="s">
        <v>658</v>
      </c>
      <c r="B44" s="1" t="s">
        <v>664</v>
      </c>
      <c r="C44" s="1" t="s">
        <v>488</v>
      </c>
      <c r="D44" s="17" t="s">
        <v>67</v>
      </c>
      <c r="E44" s="6" t="str">
        <f>HYPERLINK("https://www.bioscidb.com/browse/deal_bg/12441","Link")</f>
        <v>Link</v>
      </c>
      <c r="F44" s="1" t="s">
        <v>69</v>
      </c>
      <c r="G44" s="16" t="s">
        <v>665</v>
      </c>
      <c r="H44" s="4">
        <v>122</v>
      </c>
      <c r="I44" s="4">
        <v>10</v>
      </c>
      <c r="J44" s="4" t="s">
        <v>14</v>
      </c>
      <c r="K44" s="20">
        <f>I44/H44</f>
        <v>0.08196721311475409</v>
      </c>
      <c r="L44" s="1" t="s">
        <v>666</v>
      </c>
    </row>
    <row r="45" spans="1:12" ht="12.75">
      <c r="A45" s="3" t="s">
        <v>191</v>
      </c>
      <c r="B45" s="1" t="s">
        <v>632</v>
      </c>
      <c r="C45" s="1" t="s">
        <v>262</v>
      </c>
      <c r="D45" s="1" t="s">
        <v>67</v>
      </c>
      <c r="E45" s="6" t="str">
        <f>HYPERLINK("https://www.bioscidb.com/browse/deal_bg/11642","Link")</f>
        <v>Link</v>
      </c>
      <c r="F45" s="1" t="s">
        <v>69</v>
      </c>
      <c r="G45" s="16" t="s">
        <v>30</v>
      </c>
      <c r="H45" s="4">
        <v>553</v>
      </c>
      <c r="I45" s="4">
        <v>137</v>
      </c>
      <c r="J45" s="4" t="s">
        <v>14</v>
      </c>
      <c r="K45" s="20">
        <f>I45/H45</f>
        <v>0.24773960216998192</v>
      </c>
      <c r="L45" s="1" t="s">
        <v>633</v>
      </c>
    </row>
    <row r="46" spans="1:12" ht="12.75">
      <c r="A46" s="3" t="s">
        <v>570</v>
      </c>
      <c r="B46" s="1" t="s">
        <v>571</v>
      </c>
      <c r="C46" s="1" t="s">
        <v>572</v>
      </c>
      <c r="D46" s="1" t="s">
        <v>67</v>
      </c>
      <c r="E46" s="6" t="str">
        <f>HYPERLINK("https://www.bioscidb.com/browse/deal_bg/9766","Link")</f>
        <v>Link</v>
      </c>
      <c r="F46" s="1" t="s">
        <v>27</v>
      </c>
      <c r="G46" s="16" t="s">
        <v>573</v>
      </c>
      <c r="H46" s="4">
        <v>237.5</v>
      </c>
      <c r="I46" s="4" t="s">
        <v>14</v>
      </c>
      <c r="J46" s="4">
        <v>62.5</v>
      </c>
      <c r="K46" s="20">
        <f>J46/H46</f>
        <v>0.2631578947368421</v>
      </c>
      <c r="L46" s="1" t="s">
        <v>574</v>
      </c>
    </row>
    <row r="47" spans="1:12" ht="12.75">
      <c r="A47" s="3" t="s">
        <v>575</v>
      </c>
      <c r="B47" s="1" t="s">
        <v>576</v>
      </c>
      <c r="C47" s="1" t="s">
        <v>577</v>
      </c>
      <c r="D47" s="1" t="s">
        <v>67</v>
      </c>
      <c r="E47" s="6" t="str">
        <f>HYPERLINK("https://www.bioscidb.com/browse/deal_bg/9524","Link")</f>
        <v>Link</v>
      </c>
      <c r="F47" s="1" t="s">
        <v>27</v>
      </c>
      <c r="G47" s="16" t="s">
        <v>206</v>
      </c>
      <c r="H47" s="4">
        <v>32.2</v>
      </c>
      <c r="I47" s="4" t="s">
        <v>14</v>
      </c>
      <c r="J47" s="4">
        <v>32.2</v>
      </c>
      <c r="K47" s="20"/>
      <c r="L47" s="1" t="s">
        <v>578</v>
      </c>
    </row>
    <row r="48" spans="1:12" ht="12.75">
      <c r="A48" s="3" t="s">
        <v>464</v>
      </c>
      <c r="B48" s="1" t="s">
        <v>471</v>
      </c>
      <c r="C48" s="1" t="s">
        <v>262</v>
      </c>
      <c r="D48" s="1" t="s">
        <v>67</v>
      </c>
      <c r="E48" s="6" t="str">
        <f>HYPERLINK("https://www.bioscidb.com/browse/deal_bg/6136","Link")</f>
        <v>Link</v>
      </c>
      <c r="F48" s="1" t="s">
        <v>69</v>
      </c>
      <c r="G48" s="16" t="s">
        <v>30</v>
      </c>
      <c r="H48" s="4">
        <v>605</v>
      </c>
      <c r="I48" s="4">
        <v>95</v>
      </c>
      <c r="J48" s="4" t="s">
        <v>14</v>
      </c>
      <c r="K48" s="20">
        <f>I48/H48</f>
        <v>0.15702479338842976</v>
      </c>
      <c r="L48" s="1" t="s">
        <v>472</v>
      </c>
    </row>
    <row r="49" spans="1:12" ht="12.75">
      <c r="A49" s="3" t="s">
        <v>414</v>
      </c>
      <c r="B49" s="1" t="s">
        <v>415</v>
      </c>
      <c r="C49" s="1" t="s">
        <v>262</v>
      </c>
      <c r="D49" s="1" t="s">
        <v>67</v>
      </c>
      <c r="E49" s="6" t="str">
        <f>HYPERLINK("https://www.bioscidb.com/browse/deal_bg/4162","Link")</f>
        <v>Link</v>
      </c>
      <c r="F49" s="1" t="s">
        <v>69</v>
      </c>
      <c r="G49" s="16" t="s">
        <v>30</v>
      </c>
      <c r="H49" s="4">
        <v>375</v>
      </c>
      <c r="I49" s="4">
        <v>110</v>
      </c>
      <c r="J49" s="4" t="s">
        <v>14</v>
      </c>
      <c r="K49" s="20">
        <f>I49/H49</f>
        <v>0.29333333333333333</v>
      </c>
      <c r="L49" s="1" t="s">
        <v>14</v>
      </c>
    </row>
    <row r="50" spans="1:12" ht="25.5">
      <c r="A50" s="3" t="s">
        <v>137</v>
      </c>
      <c r="B50" s="1" t="s">
        <v>830</v>
      </c>
      <c r="C50" s="1" t="s">
        <v>831</v>
      </c>
      <c r="D50" s="17" t="s">
        <v>67</v>
      </c>
      <c r="E50" s="6" t="str">
        <f>HYPERLINK("https://www.bioscidb.com/browse/deal_bg/1924","Link")</f>
        <v>Link</v>
      </c>
      <c r="F50" s="1" t="s">
        <v>15</v>
      </c>
      <c r="G50" s="16" t="s">
        <v>832</v>
      </c>
      <c r="H50" s="4" t="s">
        <v>14</v>
      </c>
      <c r="I50" s="4" t="s">
        <v>14</v>
      </c>
      <c r="J50" s="4" t="s">
        <v>14</v>
      </c>
      <c r="K50" s="20"/>
      <c r="L50" s="1" t="s">
        <v>14</v>
      </c>
    </row>
    <row r="51" spans="1:12" ht="12.75">
      <c r="A51" s="3" t="s">
        <v>136</v>
      </c>
      <c r="B51" s="1" t="s">
        <v>267</v>
      </c>
      <c r="C51" s="1" t="s">
        <v>268</v>
      </c>
      <c r="D51" s="1" t="s">
        <v>67</v>
      </c>
      <c r="E51" s="6" t="str">
        <f>HYPERLINK("https://www.bioscidb.com/browse/deal_bg/1778","Link")</f>
        <v>Link</v>
      </c>
      <c r="F51" s="1" t="s">
        <v>45</v>
      </c>
      <c r="G51" s="16" t="s">
        <v>82</v>
      </c>
      <c r="H51" s="4">
        <v>474</v>
      </c>
      <c r="I51" s="4">
        <v>140</v>
      </c>
      <c r="J51" s="4" t="s">
        <v>14</v>
      </c>
      <c r="K51" s="20">
        <f>I51/H51</f>
        <v>0.29535864978902954</v>
      </c>
      <c r="L51" s="1" t="s">
        <v>269</v>
      </c>
    </row>
    <row r="52" spans="1:12" ht="12.75">
      <c r="A52" s="3" t="s">
        <v>68</v>
      </c>
      <c r="B52" s="1" t="s">
        <v>70</v>
      </c>
      <c r="C52" s="1" t="s">
        <v>71</v>
      </c>
      <c r="D52" s="1" t="s">
        <v>67</v>
      </c>
      <c r="E52" s="6" t="str">
        <f>HYPERLINK("https://www.bioscidb.com/browse/deal_bg/1012","Link")</f>
        <v>Link</v>
      </c>
      <c r="F52" s="1" t="s">
        <v>69</v>
      </c>
      <c r="G52" s="16" t="s">
        <v>72</v>
      </c>
      <c r="H52" s="4">
        <v>1700</v>
      </c>
      <c r="I52" s="4">
        <v>100</v>
      </c>
      <c r="J52" s="4" t="s">
        <v>14</v>
      </c>
      <c r="K52" s="20">
        <f>I52/H52</f>
        <v>0.058823529411764705</v>
      </c>
      <c r="L52" s="1" t="s">
        <v>73</v>
      </c>
    </row>
    <row r="53" spans="1:12" ht="25.5">
      <c r="A53" s="3" t="s">
        <v>583</v>
      </c>
      <c r="B53" s="1" t="s">
        <v>584</v>
      </c>
      <c r="C53" s="1" t="s">
        <v>120</v>
      </c>
      <c r="D53" s="17" t="s">
        <v>67</v>
      </c>
      <c r="E53" s="6" t="str">
        <f>HYPERLINK("https://www.bioscidb.com/browse/deal_bg/9827","Link")</f>
        <v>Link</v>
      </c>
      <c r="F53" s="1" t="s">
        <v>69</v>
      </c>
      <c r="G53" s="16" t="s">
        <v>585</v>
      </c>
      <c r="H53" s="4">
        <v>665</v>
      </c>
      <c r="I53" s="4" t="s">
        <v>14</v>
      </c>
      <c r="J53" s="4">
        <v>28</v>
      </c>
      <c r="K53" s="20">
        <f>J53/H53</f>
        <v>0.042105263157894736</v>
      </c>
      <c r="L53" s="1" t="s">
        <v>586</v>
      </c>
    </row>
    <row r="54" spans="1:12" ht="12.75">
      <c r="A54" s="3" t="s">
        <v>360</v>
      </c>
      <c r="B54" s="1" t="s">
        <v>491</v>
      </c>
      <c r="C54" s="1" t="s">
        <v>492</v>
      </c>
      <c r="D54" s="17" t="s">
        <v>67</v>
      </c>
      <c r="E54" s="6" t="str">
        <f>HYPERLINK("https://www.bioscidb.com/browse/deal_bg/4143","Link")</f>
        <v>Link</v>
      </c>
      <c r="F54" s="1" t="s">
        <v>69</v>
      </c>
      <c r="G54" s="16" t="s">
        <v>30</v>
      </c>
      <c r="H54" s="4">
        <v>555</v>
      </c>
      <c r="I54" s="4" t="s">
        <v>14</v>
      </c>
      <c r="J54" s="4" t="s">
        <v>14</v>
      </c>
      <c r="K54" s="20"/>
      <c r="L54" s="1" t="s">
        <v>14</v>
      </c>
    </row>
    <row r="55" spans="1:12" ht="12.75">
      <c r="A55" s="3" t="s">
        <v>110</v>
      </c>
      <c r="B55" s="1" t="s">
        <v>111</v>
      </c>
      <c r="C55" s="1" t="s">
        <v>71</v>
      </c>
      <c r="D55" s="1" t="s">
        <v>67</v>
      </c>
      <c r="E55" s="6" t="str">
        <f>HYPERLINK("https://www.bioscidb.com/browse/deal_bg/1428","Link")</f>
        <v>Link</v>
      </c>
      <c r="F55" s="1" t="s">
        <v>69</v>
      </c>
      <c r="G55" s="16" t="s">
        <v>30</v>
      </c>
      <c r="H55" s="4">
        <v>925</v>
      </c>
      <c r="I55" s="4">
        <v>350</v>
      </c>
      <c r="J55" s="4" t="s">
        <v>14</v>
      </c>
      <c r="K55" s="20">
        <f>I55/H55</f>
        <v>0.3783783783783784</v>
      </c>
      <c r="L55" s="1" t="s">
        <v>112</v>
      </c>
    </row>
    <row r="56" spans="1:12" ht="12.75">
      <c r="A56" s="3" t="s">
        <v>44</v>
      </c>
      <c r="B56" s="1" t="s">
        <v>113</v>
      </c>
      <c r="C56" s="1" t="s">
        <v>114</v>
      </c>
      <c r="D56" s="1" t="s">
        <v>67</v>
      </c>
      <c r="E56" s="6" t="str">
        <f>HYPERLINK("https://www.bioscidb.com/browse/deal_bg/1435","Link")</f>
        <v>Link</v>
      </c>
      <c r="F56" s="1" t="s">
        <v>69</v>
      </c>
      <c r="G56" s="16" t="s">
        <v>30</v>
      </c>
      <c r="H56" s="4">
        <v>310</v>
      </c>
      <c r="I56" s="4">
        <v>190</v>
      </c>
      <c r="J56" s="4" t="s">
        <v>14</v>
      </c>
      <c r="K56" s="20">
        <f>I56/H56</f>
        <v>0.6129032258064516</v>
      </c>
      <c r="L56" s="1" t="s">
        <v>14</v>
      </c>
    </row>
    <row r="57" spans="1:12" ht="12.75">
      <c r="A57" s="3" t="s">
        <v>233</v>
      </c>
      <c r="B57" s="1" t="s">
        <v>364</v>
      </c>
      <c r="C57" s="1" t="s">
        <v>361</v>
      </c>
      <c r="D57" s="1" t="s">
        <v>67</v>
      </c>
      <c r="E57" s="6" t="str">
        <f>HYPERLINK("https://www.bioscidb.com/browse/deal_bg/4424","Link")</f>
        <v>Link</v>
      </c>
      <c r="F57" s="1" t="s">
        <v>69</v>
      </c>
      <c r="G57" s="16" t="s">
        <v>30</v>
      </c>
      <c r="H57" s="4">
        <v>475</v>
      </c>
      <c r="I57" s="4">
        <v>325</v>
      </c>
      <c r="J57" s="4" t="s">
        <v>14</v>
      </c>
      <c r="K57" s="20">
        <f>I57/H57</f>
        <v>0.6842105263157895</v>
      </c>
      <c r="L57" s="1" t="s">
        <v>365</v>
      </c>
    </row>
    <row r="58" spans="1:12" ht="12.75">
      <c r="A58" s="3" t="s">
        <v>270</v>
      </c>
      <c r="B58" s="1" t="s">
        <v>271</v>
      </c>
      <c r="C58" s="1" t="s">
        <v>108</v>
      </c>
      <c r="D58" s="1" t="s">
        <v>67</v>
      </c>
      <c r="E58" s="6" t="str">
        <f>HYPERLINK("https://www.bioscidb.com/browse/deal_bg/3710","Link")</f>
        <v>Link</v>
      </c>
      <c r="F58" s="1" t="s">
        <v>45</v>
      </c>
      <c r="G58" s="16" t="s">
        <v>30</v>
      </c>
      <c r="H58" s="4">
        <v>225</v>
      </c>
      <c r="I58" s="4">
        <v>225</v>
      </c>
      <c r="J58" s="4" t="s">
        <v>14</v>
      </c>
      <c r="K58" s="20"/>
      <c r="L58" s="1" t="s">
        <v>272</v>
      </c>
    </row>
    <row r="59" spans="1:12" ht="12.75">
      <c r="A59" s="3" t="s">
        <v>303</v>
      </c>
      <c r="B59" s="1" t="s">
        <v>304</v>
      </c>
      <c r="C59" s="1" t="s">
        <v>257</v>
      </c>
      <c r="D59" s="17" t="s">
        <v>67</v>
      </c>
      <c r="E59" s="6" t="str">
        <f>HYPERLINK("https://www.bioscidb.com/browse/deal_bg/1325","Link")</f>
        <v>Link</v>
      </c>
      <c r="F59" s="1" t="s">
        <v>27</v>
      </c>
      <c r="G59" s="16" t="s">
        <v>30</v>
      </c>
      <c r="H59" s="4">
        <v>450</v>
      </c>
      <c r="I59" s="4">
        <v>360</v>
      </c>
      <c r="J59" s="4" t="s">
        <v>14</v>
      </c>
      <c r="K59" s="20">
        <f>I59/H59</f>
        <v>0.8</v>
      </c>
      <c r="L59" s="1" t="s">
        <v>14</v>
      </c>
    </row>
    <row r="60" spans="1:12" ht="12.75">
      <c r="A60" s="3" t="s">
        <v>891</v>
      </c>
      <c r="B60" s="1" t="s">
        <v>892</v>
      </c>
      <c r="C60" s="1" t="s">
        <v>47</v>
      </c>
      <c r="D60" s="1" t="s">
        <v>43</v>
      </c>
      <c r="E60" s="6" t="str">
        <f>HYPERLINK("https://www.bioscidb.com/browse/deal_bg/15254","Link")</f>
        <v>Link</v>
      </c>
      <c r="F60" s="1" t="s">
        <v>27</v>
      </c>
      <c r="G60" s="16" t="s">
        <v>893</v>
      </c>
      <c r="H60" s="4">
        <v>1225</v>
      </c>
      <c r="I60" s="4">
        <v>930</v>
      </c>
      <c r="J60" s="4" t="s">
        <v>14</v>
      </c>
      <c r="K60" s="20">
        <f>I60/H60</f>
        <v>0.7591836734693878</v>
      </c>
      <c r="L60" s="1" t="s">
        <v>894</v>
      </c>
    </row>
    <row r="61" spans="1:12" ht="12.75">
      <c r="A61" s="3" t="s">
        <v>663</v>
      </c>
      <c r="B61" s="1" t="s">
        <v>926</v>
      </c>
      <c r="C61" s="1" t="s">
        <v>192</v>
      </c>
      <c r="D61" s="17" t="s">
        <v>43</v>
      </c>
      <c r="E61" s="6" t="str">
        <f>HYPERLINK("https://www.bioscidb.com/browse/deal_bg/15033","Link")</f>
        <v>Link</v>
      </c>
      <c r="F61" s="1" t="s">
        <v>45</v>
      </c>
      <c r="G61" s="16" t="s">
        <v>100</v>
      </c>
      <c r="H61" s="4">
        <v>400</v>
      </c>
      <c r="I61" s="4">
        <v>175</v>
      </c>
      <c r="J61" s="4">
        <v>75</v>
      </c>
      <c r="K61" s="20">
        <f>(I61+J61)/H61</f>
        <v>0.625</v>
      </c>
      <c r="L61" s="1" t="s">
        <v>927</v>
      </c>
    </row>
    <row r="62" spans="1:12" ht="12.75">
      <c r="A62" s="3" t="s">
        <v>849</v>
      </c>
      <c r="B62" s="1" t="s">
        <v>850</v>
      </c>
      <c r="C62" s="1" t="s">
        <v>262</v>
      </c>
      <c r="D62" s="1" t="s">
        <v>43</v>
      </c>
      <c r="E62" s="6" t="str">
        <f>HYPERLINK("https://www.bioscidb.com/browse/deal_bg/14667","Link")</f>
        <v>Link</v>
      </c>
      <c r="F62" s="1" t="s">
        <v>69</v>
      </c>
      <c r="G62" s="16" t="s">
        <v>851</v>
      </c>
      <c r="H62" s="4">
        <v>2200</v>
      </c>
      <c r="I62" s="4">
        <v>1050</v>
      </c>
      <c r="J62" s="4" t="s">
        <v>14</v>
      </c>
      <c r="K62" s="20">
        <f>I62/H62</f>
        <v>0.4772727272727273</v>
      </c>
      <c r="L62" s="1" t="s">
        <v>852</v>
      </c>
    </row>
    <row r="63" spans="1:12" ht="12.75">
      <c r="A63" s="3" t="s">
        <v>838</v>
      </c>
      <c r="B63" s="1" t="s">
        <v>860</v>
      </c>
      <c r="C63" s="1" t="s">
        <v>861</v>
      </c>
      <c r="D63" s="1" t="s">
        <v>43</v>
      </c>
      <c r="E63" s="6" t="str">
        <f>HYPERLINK("https://www.bioscidb.com/browse/deal_bg/15595","Link")</f>
        <v>Link</v>
      </c>
      <c r="F63" s="1" t="s">
        <v>27</v>
      </c>
      <c r="G63" s="16" t="s">
        <v>734</v>
      </c>
      <c r="H63" s="4">
        <v>3.7</v>
      </c>
      <c r="I63" s="4" t="s">
        <v>14</v>
      </c>
      <c r="J63" s="4">
        <v>3.7</v>
      </c>
      <c r="K63" s="20"/>
      <c r="L63" s="1" t="s">
        <v>862</v>
      </c>
    </row>
    <row r="64" spans="1:12" ht="12.75">
      <c r="A64" s="3" t="s">
        <v>762</v>
      </c>
      <c r="B64" s="1" t="s">
        <v>780</v>
      </c>
      <c r="C64" s="1" t="s">
        <v>781</v>
      </c>
      <c r="D64" s="17" t="s">
        <v>43</v>
      </c>
      <c r="E64" s="6" t="str">
        <f>HYPERLINK("https://www.bioscidb.com/browse/deal_bg/14188","Link")</f>
        <v>Link</v>
      </c>
      <c r="F64" s="1" t="s">
        <v>27</v>
      </c>
      <c r="G64" s="16" t="s">
        <v>206</v>
      </c>
      <c r="H64" s="4">
        <v>25</v>
      </c>
      <c r="I64" s="4">
        <v>10</v>
      </c>
      <c r="J64" s="4" t="s">
        <v>14</v>
      </c>
      <c r="K64" s="20">
        <f>I64/H64</f>
        <v>0.4</v>
      </c>
      <c r="L64" s="1" t="s">
        <v>14</v>
      </c>
    </row>
    <row r="65" spans="1:12" ht="12.75">
      <c r="A65" s="3" t="s">
        <v>773</v>
      </c>
      <c r="B65" s="1" t="s">
        <v>774</v>
      </c>
      <c r="C65" s="1" t="s">
        <v>376</v>
      </c>
      <c r="D65" s="1" t="s">
        <v>43</v>
      </c>
      <c r="E65" s="6" t="str">
        <f>HYPERLINK("https://www.bioscidb.com/browse/deal_bg/13946","Link")</f>
        <v>Link</v>
      </c>
      <c r="F65" s="1" t="s">
        <v>27</v>
      </c>
      <c r="G65" s="16" t="s">
        <v>30</v>
      </c>
      <c r="H65" s="4">
        <v>415</v>
      </c>
      <c r="I65" s="4">
        <v>50</v>
      </c>
      <c r="J65" s="4" t="s">
        <v>14</v>
      </c>
      <c r="K65" s="20">
        <f>I65/H65</f>
        <v>0.12048192771084337</v>
      </c>
      <c r="L65" s="1" t="s">
        <v>775</v>
      </c>
    </row>
    <row r="66" spans="1:12" ht="12.75">
      <c r="A66" s="3" t="s">
        <v>722</v>
      </c>
      <c r="B66" s="1" t="s">
        <v>732</v>
      </c>
      <c r="C66" s="1" t="s">
        <v>733</v>
      </c>
      <c r="D66" s="1" t="s">
        <v>43</v>
      </c>
      <c r="E66" s="6" t="str">
        <f>HYPERLINK("https://www.bioscidb.com/browse/deal_bg/13833","Link")</f>
        <v>Link</v>
      </c>
      <c r="F66" s="1" t="s">
        <v>27</v>
      </c>
      <c r="G66" s="16" t="s">
        <v>734</v>
      </c>
      <c r="H66" s="4">
        <v>100</v>
      </c>
      <c r="I66" s="4" t="s">
        <v>14</v>
      </c>
      <c r="J66" s="4">
        <v>100</v>
      </c>
      <c r="K66" s="20"/>
      <c r="L66" s="1" t="s">
        <v>735</v>
      </c>
    </row>
    <row r="67" spans="1:12" ht="12.75">
      <c r="A67" s="3" t="s">
        <v>710</v>
      </c>
      <c r="B67" s="1" t="s">
        <v>711</v>
      </c>
      <c r="C67" s="1" t="s">
        <v>712</v>
      </c>
      <c r="D67" s="17" t="s">
        <v>43</v>
      </c>
      <c r="E67" s="6" t="str">
        <f>HYPERLINK("https://www.bioscidb.com/browse/deal_bg/13389","Link")</f>
        <v>Link</v>
      </c>
      <c r="F67" s="1" t="s">
        <v>45</v>
      </c>
      <c r="G67" s="16" t="s">
        <v>100</v>
      </c>
      <c r="H67" s="4">
        <v>945</v>
      </c>
      <c r="I67" s="4">
        <v>50</v>
      </c>
      <c r="J67" s="4">
        <v>150</v>
      </c>
      <c r="K67" s="20">
        <f>(I67+J67)/H67</f>
        <v>0.21164021164021163</v>
      </c>
      <c r="L67" s="1" t="s">
        <v>713</v>
      </c>
    </row>
    <row r="68" spans="1:12" ht="12.75">
      <c r="A68" s="3" t="s">
        <v>710</v>
      </c>
      <c r="B68" s="1" t="s">
        <v>715</v>
      </c>
      <c r="C68" s="1" t="s">
        <v>716</v>
      </c>
      <c r="D68" s="17" t="s">
        <v>43</v>
      </c>
      <c r="E68" s="6" t="str">
        <f>HYPERLINK("https://www.bioscidb.com/browse/deal_bg/13747","Link")</f>
        <v>Link</v>
      </c>
      <c r="F68" s="1" t="s">
        <v>27</v>
      </c>
      <c r="G68" s="16" t="s">
        <v>482</v>
      </c>
      <c r="H68" s="4">
        <v>13</v>
      </c>
      <c r="I68" s="4" t="s">
        <v>14</v>
      </c>
      <c r="J68" s="4">
        <v>13</v>
      </c>
      <c r="K68" s="20"/>
      <c r="L68" s="1" t="s">
        <v>717</v>
      </c>
    </row>
    <row r="69" spans="1:12" ht="25.5">
      <c r="A69" s="3" t="s">
        <v>710</v>
      </c>
      <c r="B69" s="1" t="s">
        <v>555</v>
      </c>
      <c r="C69" s="1" t="s">
        <v>853</v>
      </c>
      <c r="D69" s="17" t="s">
        <v>43</v>
      </c>
      <c r="E69" s="6" t="str">
        <f>HYPERLINK("https://www.bioscidb.com/browse/deal_bg/13352","Link")</f>
        <v>Link</v>
      </c>
      <c r="F69" s="1" t="s">
        <v>45</v>
      </c>
      <c r="G69" s="16" t="s">
        <v>854</v>
      </c>
      <c r="H69" s="4">
        <v>461</v>
      </c>
      <c r="I69" s="4">
        <v>191</v>
      </c>
      <c r="J69" s="4" t="s">
        <v>14</v>
      </c>
      <c r="K69" s="20">
        <f>I69/H69</f>
        <v>0.41431670281995664</v>
      </c>
      <c r="L69" s="1" t="s">
        <v>855</v>
      </c>
    </row>
    <row r="70" spans="1:12" ht="25.5">
      <c r="A70" s="3" t="s">
        <v>884</v>
      </c>
      <c r="B70" s="1" t="s">
        <v>93</v>
      </c>
      <c r="C70" s="1" t="s">
        <v>885</v>
      </c>
      <c r="D70" s="17" t="s">
        <v>43</v>
      </c>
      <c r="E70" s="6" t="str">
        <f>HYPERLINK("https://www.bioscidb.com/browse/deal_bg/12769","Link")</f>
        <v>Link</v>
      </c>
      <c r="F70" s="1" t="s">
        <v>45</v>
      </c>
      <c r="G70" s="16" t="s">
        <v>886</v>
      </c>
      <c r="H70" s="4">
        <v>261.3</v>
      </c>
      <c r="I70" s="4">
        <v>142.3</v>
      </c>
      <c r="J70" s="4" t="s">
        <v>14</v>
      </c>
      <c r="K70" s="20">
        <f>I70/H70</f>
        <v>0.5445847684653655</v>
      </c>
      <c r="L70" s="1" t="s">
        <v>887</v>
      </c>
    </row>
    <row r="71" spans="1:12" ht="12.75">
      <c r="A71" s="3" t="s">
        <v>648</v>
      </c>
      <c r="B71" s="1" t="s">
        <v>649</v>
      </c>
      <c r="C71" s="1" t="s">
        <v>650</v>
      </c>
      <c r="D71" s="17" t="s">
        <v>43</v>
      </c>
      <c r="E71" s="6" t="str">
        <f>HYPERLINK("https://www.bioscidb.com/browse/deal_bg/12085","Link")</f>
        <v>Link</v>
      </c>
      <c r="F71" s="1" t="s">
        <v>27</v>
      </c>
      <c r="G71" s="16" t="s">
        <v>651</v>
      </c>
      <c r="H71" s="4">
        <v>117</v>
      </c>
      <c r="I71" s="4">
        <v>42</v>
      </c>
      <c r="J71" s="4" t="s">
        <v>14</v>
      </c>
      <c r="K71" s="20">
        <f>I71/H71</f>
        <v>0.358974358974359</v>
      </c>
      <c r="L71" s="1" t="s">
        <v>652</v>
      </c>
    </row>
    <row r="72" spans="1:12" ht="25.5">
      <c r="A72" s="3" t="s">
        <v>607</v>
      </c>
      <c r="B72" s="1" t="s">
        <v>608</v>
      </c>
      <c r="C72" s="1" t="s">
        <v>609</v>
      </c>
      <c r="D72" s="17" t="s">
        <v>43</v>
      </c>
      <c r="E72" s="6" t="str">
        <f>HYPERLINK("https://www.bioscidb.com/browse/deal_bg/10578","Link")</f>
        <v>Link</v>
      </c>
      <c r="F72" s="1" t="s">
        <v>27</v>
      </c>
      <c r="G72" s="16" t="s">
        <v>610</v>
      </c>
      <c r="H72" s="4">
        <v>250</v>
      </c>
      <c r="I72" s="4">
        <v>160</v>
      </c>
      <c r="J72" s="4" t="s">
        <v>14</v>
      </c>
      <c r="K72" s="20">
        <f>I72/H72</f>
        <v>0.64</v>
      </c>
      <c r="L72" s="1" t="s">
        <v>14</v>
      </c>
    </row>
    <row r="73" spans="1:12" ht="12.75">
      <c r="A73" s="3" t="s">
        <v>591</v>
      </c>
      <c r="B73" s="1" t="s">
        <v>613</v>
      </c>
      <c r="C73" s="1" t="s">
        <v>614</v>
      </c>
      <c r="D73" s="17" t="s">
        <v>43</v>
      </c>
      <c r="E73" s="6" t="str">
        <f>HYPERLINK("https://www.bioscidb.com/browse/deal_bg/10677","Link")</f>
        <v>Link</v>
      </c>
      <c r="F73" s="1" t="s">
        <v>27</v>
      </c>
      <c r="G73" s="16" t="s">
        <v>615</v>
      </c>
      <c r="H73" s="4">
        <v>48.5</v>
      </c>
      <c r="I73" s="4" t="s">
        <v>14</v>
      </c>
      <c r="J73" s="4" t="s">
        <v>14</v>
      </c>
      <c r="K73" s="20"/>
      <c r="L73" s="1" t="s">
        <v>616</v>
      </c>
    </row>
    <row r="74" spans="1:12" ht="12.75">
      <c r="A74" s="3" t="s">
        <v>591</v>
      </c>
      <c r="B74" s="1" t="s">
        <v>592</v>
      </c>
      <c r="C74" s="1" t="s">
        <v>120</v>
      </c>
      <c r="D74" s="1" t="s">
        <v>43</v>
      </c>
      <c r="E74" s="6" t="str">
        <f>HYPERLINK("https://www.bioscidb.com/browse/deal_bg/9999","Link")</f>
        <v>Link</v>
      </c>
      <c r="F74" s="1" t="s">
        <v>69</v>
      </c>
      <c r="G74" s="16" t="s">
        <v>30</v>
      </c>
      <c r="H74" s="4">
        <v>420</v>
      </c>
      <c r="I74" s="4">
        <v>325</v>
      </c>
      <c r="J74" s="4" t="s">
        <v>14</v>
      </c>
      <c r="K74" s="20">
        <f>I74/H74</f>
        <v>0.7738095238095238</v>
      </c>
      <c r="L74" s="1" t="s">
        <v>593</v>
      </c>
    </row>
    <row r="75" spans="1:12" ht="12.75">
      <c r="A75" s="3" t="s">
        <v>570</v>
      </c>
      <c r="B75" s="1" t="s">
        <v>579</v>
      </c>
      <c r="C75" s="1" t="s">
        <v>580</v>
      </c>
      <c r="D75" s="1" t="s">
        <v>43</v>
      </c>
      <c r="E75" s="6" t="str">
        <f>HYPERLINK("https://www.bioscidb.com/browse/deal_bg/9775","Link")</f>
        <v>Link</v>
      </c>
      <c r="F75" s="1" t="s">
        <v>27</v>
      </c>
      <c r="G75" s="16" t="s">
        <v>581</v>
      </c>
      <c r="H75" s="4">
        <v>165</v>
      </c>
      <c r="I75" s="4">
        <v>12</v>
      </c>
      <c r="J75" s="4" t="s">
        <v>14</v>
      </c>
      <c r="K75" s="20">
        <f>I75/H75</f>
        <v>0.07272727272727272</v>
      </c>
      <c r="L75" s="1" t="s">
        <v>582</v>
      </c>
    </row>
    <row r="76" spans="1:12" ht="12.75">
      <c r="A76" s="3" t="s">
        <v>559</v>
      </c>
      <c r="B76" s="1" t="s">
        <v>566</v>
      </c>
      <c r="C76" s="1" t="s">
        <v>466</v>
      </c>
      <c r="D76" s="1" t="s">
        <v>43</v>
      </c>
      <c r="E76" s="6" t="str">
        <f>HYPERLINK("https://www.bioscidb.com/browse/deal_bg/9595","Link")</f>
        <v>Link</v>
      </c>
      <c r="F76" s="1" t="s">
        <v>27</v>
      </c>
      <c r="G76" s="16" t="s">
        <v>567</v>
      </c>
      <c r="H76" s="4">
        <v>1481</v>
      </c>
      <c r="I76" s="4">
        <v>537</v>
      </c>
      <c r="J76" s="4" t="s">
        <v>14</v>
      </c>
      <c r="K76" s="20">
        <f>I76/H76</f>
        <v>0.362592842673869</v>
      </c>
      <c r="L76" s="1" t="s">
        <v>568</v>
      </c>
    </row>
    <row r="77" spans="1:12" ht="12.75">
      <c r="A77" s="3" t="s">
        <v>575</v>
      </c>
      <c r="B77" s="1" t="s">
        <v>828</v>
      </c>
      <c r="C77" s="1" t="s">
        <v>829</v>
      </c>
      <c r="D77" s="1" t="s">
        <v>43</v>
      </c>
      <c r="E77" s="6" t="str">
        <f>HYPERLINK("https://www.bioscidb.com/browse/deal_bg/9475","Link")</f>
        <v>Link</v>
      </c>
      <c r="F77" s="1" t="s">
        <v>27</v>
      </c>
      <c r="G77" s="16" t="s">
        <v>100</v>
      </c>
      <c r="H77" s="4">
        <v>350</v>
      </c>
      <c r="I77" s="4">
        <v>50</v>
      </c>
      <c r="J77" s="4">
        <v>20</v>
      </c>
      <c r="K77" s="20">
        <f>(I77+J77)/H77</f>
        <v>0.2</v>
      </c>
      <c r="L77" s="1" t="s">
        <v>14</v>
      </c>
    </row>
    <row r="78" spans="1:12" ht="12.75">
      <c r="A78" s="3" t="s">
        <v>540</v>
      </c>
      <c r="B78" s="1" t="s">
        <v>541</v>
      </c>
      <c r="C78" s="1" t="s">
        <v>262</v>
      </c>
      <c r="D78" s="1" t="s">
        <v>43</v>
      </c>
      <c r="E78" s="6" t="str">
        <f>HYPERLINK("https://www.bioscidb.com/browse/deal_bg/8997","Link")</f>
        <v>Link</v>
      </c>
      <c r="F78" s="1" t="s">
        <v>69</v>
      </c>
      <c r="G78" s="16" t="s">
        <v>30</v>
      </c>
      <c r="H78" s="4">
        <v>1250</v>
      </c>
      <c r="I78" s="4">
        <v>500</v>
      </c>
      <c r="J78" s="4" t="s">
        <v>14</v>
      </c>
      <c r="K78" s="20">
        <f>I78/H78</f>
        <v>0.4</v>
      </c>
      <c r="L78" s="1" t="s">
        <v>542</v>
      </c>
    </row>
    <row r="79" spans="1:12" ht="12.75">
      <c r="A79" s="3" t="s">
        <v>494</v>
      </c>
      <c r="B79" s="1" t="s">
        <v>495</v>
      </c>
      <c r="C79" s="1" t="s">
        <v>361</v>
      </c>
      <c r="D79" s="1" t="s">
        <v>43</v>
      </c>
      <c r="E79" s="6" t="str">
        <f>HYPERLINK("https://www.bioscidb.com/browse/deal_bg/7303","Link")</f>
        <v>Link</v>
      </c>
      <c r="F79" s="1" t="s">
        <v>69</v>
      </c>
      <c r="G79" s="16" t="s">
        <v>30</v>
      </c>
      <c r="H79" s="4">
        <v>2075</v>
      </c>
      <c r="I79" s="4">
        <v>300</v>
      </c>
      <c r="J79" s="4" t="s">
        <v>14</v>
      </c>
      <c r="K79" s="20">
        <f>I79/H79</f>
        <v>0.14457831325301204</v>
      </c>
      <c r="L79" s="1" t="s">
        <v>496</v>
      </c>
    </row>
    <row r="80" spans="1:12" ht="12.75">
      <c r="A80" s="3" t="s">
        <v>617</v>
      </c>
      <c r="B80" s="1" t="s">
        <v>618</v>
      </c>
      <c r="C80" s="1" t="s">
        <v>619</v>
      </c>
      <c r="D80" s="1" t="s">
        <v>43</v>
      </c>
      <c r="E80" s="6" t="str">
        <f>HYPERLINK("https://www.bioscidb.com/browse/deal_bg/15223","Link")</f>
        <v>Link</v>
      </c>
      <c r="F80" s="1" t="s">
        <v>27</v>
      </c>
      <c r="G80" s="16" t="s">
        <v>620</v>
      </c>
      <c r="H80" s="4" t="s">
        <v>14</v>
      </c>
      <c r="I80" s="4" t="s">
        <v>14</v>
      </c>
      <c r="J80" s="4" t="s">
        <v>14</v>
      </c>
      <c r="K80" s="20"/>
      <c r="L80" s="1" t="s">
        <v>14</v>
      </c>
    </row>
    <row r="81" spans="1:12" ht="25.5">
      <c r="A81" s="3" t="s">
        <v>499</v>
      </c>
      <c r="B81" s="1" t="s">
        <v>823</v>
      </c>
      <c r="C81" s="1" t="s">
        <v>824</v>
      </c>
      <c r="D81" s="17" t="s">
        <v>43</v>
      </c>
      <c r="E81" s="6" t="str">
        <f>HYPERLINK("https://www.bioscidb.com/browse/deal_bg/6647","Link")</f>
        <v>Link</v>
      </c>
      <c r="F81" s="1" t="s">
        <v>45</v>
      </c>
      <c r="G81" s="16" t="s">
        <v>825</v>
      </c>
      <c r="H81" s="4">
        <v>8</v>
      </c>
      <c r="I81" s="4">
        <v>2</v>
      </c>
      <c r="J81" s="4" t="s">
        <v>14</v>
      </c>
      <c r="K81" s="20">
        <f>I81/H81</f>
        <v>0.25</v>
      </c>
      <c r="L81" s="1" t="s">
        <v>826</v>
      </c>
    </row>
    <row r="82" spans="1:12" ht="12.75">
      <c r="A82" s="3" t="s">
        <v>464</v>
      </c>
      <c r="B82" s="1" t="s">
        <v>516</v>
      </c>
      <c r="C82" s="1" t="s">
        <v>517</v>
      </c>
      <c r="D82" s="1" t="s">
        <v>43</v>
      </c>
      <c r="E82" s="6" t="str">
        <f>HYPERLINK("https://www.bioscidb.com/browse/deal_bg/6191","Link")</f>
        <v>Link</v>
      </c>
      <c r="F82" s="1" t="s">
        <v>45</v>
      </c>
      <c r="G82" s="16" t="s">
        <v>100</v>
      </c>
      <c r="H82" s="4">
        <v>369</v>
      </c>
      <c r="I82" s="4" t="s">
        <v>14</v>
      </c>
      <c r="J82" s="4" t="s">
        <v>14</v>
      </c>
      <c r="K82" s="20"/>
      <c r="L82" s="1" t="s">
        <v>518</v>
      </c>
    </row>
    <row r="83" spans="1:12" ht="12.75">
      <c r="A83" s="3" t="s">
        <v>464</v>
      </c>
      <c r="B83" s="1" t="s">
        <v>465</v>
      </c>
      <c r="C83" s="1" t="s">
        <v>466</v>
      </c>
      <c r="D83" s="1" t="s">
        <v>43</v>
      </c>
      <c r="E83" s="6" t="str">
        <f>HYPERLINK("https://www.bioscidb.com/browse/deal_bg/6105","Link")</f>
        <v>Link</v>
      </c>
      <c r="F83" s="1" t="s">
        <v>69</v>
      </c>
      <c r="G83" s="16" t="s">
        <v>30</v>
      </c>
      <c r="H83" s="4">
        <v>1710</v>
      </c>
      <c r="I83" s="4">
        <v>560</v>
      </c>
      <c r="J83" s="4" t="s">
        <v>14</v>
      </c>
      <c r="K83" s="20">
        <f>I83/H83</f>
        <v>0.32748538011695905</v>
      </c>
      <c r="L83" s="1" t="s">
        <v>467</v>
      </c>
    </row>
    <row r="84" spans="1:12" ht="12.75">
      <c r="A84" s="3" t="s">
        <v>461</v>
      </c>
      <c r="B84" s="1" t="s">
        <v>462</v>
      </c>
      <c r="C84" s="1" t="s">
        <v>120</v>
      </c>
      <c r="D84" s="1" t="s">
        <v>43</v>
      </c>
      <c r="E84" s="6" t="str">
        <f>HYPERLINK("https://www.bioscidb.com/browse/deal_bg/5728","Link")</f>
        <v>Link</v>
      </c>
      <c r="F84" s="1" t="s">
        <v>69</v>
      </c>
      <c r="G84" s="16" t="s">
        <v>82</v>
      </c>
      <c r="H84" s="4">
        <v>200</v>
      </c>
      <c r="I84" s="4">
        <v>200</v>
      </c>
      <c r="J84" s="4" t="s">
        <v>14</v>
      </c>
      <c r="K84" s="20"/>
      <c r="L84" s="1" t="s">
        <v>463</v>
      </c>
    </row>
    <row r="85" spans="1:12" ht="12.75">
      <c r="A85" s="3" t="s">
        <v>424</v>
      </c>
      <c r="B85" s="1" t="s">
        <v>800</v>
      </c>
      <c r="C85" s="1" t="s">
        <v>723</v>
      </c>
      <c r="D85" s="17" t="s">
        <v>43</v>
      </c>
      <c r="E85" s="6" t="str">
        <f>HYPERLINK("https://www.bioscidb.com/browse/deal_bg/4635","Link")</f>
        <v>Link</v>
      </c>
      <c r="F85" s="1" t="s">
        <v>15</v>
      </c>
      <c r="G85" s="16" t="s">
        <v>801</v>
      </c>
      <c r="H85" s="4">
        <v>7</v>
      </c>
      <c r="I85" s="4">
        <v>3</v>
      </c>
      <c r="J85" s="4" t="s">
        <v>14</v>
      </c>
      <c r="K85" s="20">
        <f>I85/H85</f>
        <v>0.42857142857142855</v>
      </c>
      <c r="L85" s="1" t="s">
        <v>14</v>
      </c>
    </row>
    <row r="86" spans="1:12" ht="25.5">
      <c r="A86" s="3" t="s">
        <v>414</v>
      </c>
      <c r="B86" s="1" t="s">
        <v>555</v>
      </c>
      <c r="C86" s="1" t="s">
        <v>692</v>
      </c>
      <c r="D86" s="1" t="s">
        <v>43</v>
      </c>
      <c r="E86" s="6" t="str">
        <f>HYPERLINK("https://www.bioscidb.com/browse/deal_bg/4212","Link")</f>
        <v>Link</v>
      </c>
      <c r="F86" s="1" t="s">
        <v>15</v>
      </c>
      <c r="G86" s="16" t="s">
        <v>693</v>
      </c>
      <c r="H86" s="4">
        <v>165</v>
      </c>
      <c r="I86" s="4">
        <v>5</v>
      </c>
      <c r="J86" s="4" t="s">
        <v>14</v>
      </c>
      <c r="K86" s="20">
        <f>I86/H86</f>
        <v>0.030303030303030304</v>
      </c>
      <c r="L86" s="1" t="s">
        <v>14</v>
      </c>
    </row>
    <row r="87" spans="1:12" ht="12.75">
      <c r="A87" s="3" t="s">
        <v>401</v>
      </c>
      <c r="B87" s="1" t="s">
        <v>427</v>
      </c>
      <c r="C87" s="1" t="s">
        <v>192</v>
      </c>
      <c r="D87" s="17" t="s">
        <v>43</v>
      </c>
      <c r="E87" s="6" t="str">
        <f>HYPERLINK("https://www.bioscidb.com/browse/deal_bg/4253","Link")</f>
        <v>Link</v>
      </c>
      <c r="F87" s="1" t="s">
        <v>45</v>
      </c>
      <c r="G87" s="16" t="s">
        <v>100</v>
      </c>
      <c r="H87" s="4">
        <v>130</v>
      </c>
      <c r="I87" s="4">
        <v>20</v>
      </c>
      <c r="J87" s="4">
        <v>15</v>
      </c>
      <c r="K87" s="20">
        <f>(I87+J87)/H87</f>
        <v>0.2692307692307692</v>
      </c>
      <c r="L87" s="1" t="s">
        <v>428</v>
      </c>
    </row>
    <row r="88" spans="1:12" ht="25.5">
      <c r="A88" s="3" t="s">
        <v>373</v>
      </c>
      <c r="B88" s="1" t="s">
        <v>442</v>
      </c>
      <c r="C88" s="1" t="s">
        <v>443</v>
      </c>
      <c r="D88" s="17" t="s">
        <v>43</v>
      </c>
      <c r="E88" s="6" t="str">
        <f>HYPERLINK("https://www.bioscidb.com/browse/deal_bg/4403","Link")</f>
        <v>Link</v>
      </c>
      <c r="F88" s="1" t="s">
        <v>45</v>
      </c>
      <c r="G88" s="16" t="s">
        <v>444</v>
      </c>
      <c r="H88" s="4">
        <v>14</v>
      </c>
      <c r="I88" s="4">
        <v>0.275</v>
      </c>
      <c r="J88" s="4">
        <v>3.75</v>
      </c>
      <c r="K88" s="20">
        <f>(I88+J88)/H88</f>
        <v>0.28750000000000003</v>
      </c>
      <c r="L88" s="1" t="s">
        <v>445</v>
      </c>
    </row>
    <row r="89" spans="1:12" ht="12.75">
      <c r="A89" s="3" t="s">
        <v>190</v>
      </c>
      <c r="B89" s="1" t="s">
        <v>433</v>
      </c>
      <c r="C89" s="1" t="s">
        <v>434</v>
      </c>
      <c r="D89" s="1" t="s">
        <v>43</v>
      </c>
      <c r="E89" s="6" t="str">
        <f>HYPERLINK("https://www.bioscidb.com/browse/deal_bg/2482","Link")</f>
        <v>Link</v>
      </c>
      <c r="F89" s="1" t="s">
        <v>27</v>
      </c>
      <c r="G89" s="16" t="s">
        <v>206</v>
      </c>
      <c r="H89" s="4">
        <v>124.1</v>
      </c>
      <c r="I89" s="4" t="s">
        <v>14</v>
      </c>
      <c r="J89" s="4">
        <v>34.1</v>
      </c>
      <c r="K89" s="20">
        <f>J89/H89</f>
        <v>0.27477840451248997</v>
      </c>
      <c r="L89" s="1" t="s">
        <v>435</v>
      </c>
    </row>
    <row r="90" spans="1:12" ht="12.75">
      <c r="A90" s="3" t="s">
        <v>127</v>
      </c>
      <c r="B90" s="1" t="s">
        <v>397</v>
      </c>
      <c r="C90" s="1" t="s">
        <v>398</v>
      </c>
      <c r="D90" s="1" t="s">
        <v>43</v>
      </c>
      <c r="E90" s="6" t="str">
        <f>HYPERLINK("https://www.bioscidb.com/browse/deal_bg/1730","Link")</f>
        <v>Link</v>
      </c>
      <c r="F90" s="1" t="s">
        <v>27</v>
      </c>
      <c r="G90" s="16" t="s">
        <v>399</v>
      </c>
      <c r="H90" s="4">
        <v>424</v>
      </c>
      <c r="I90" s="4">
        <v>10</v>
      </c>
      <c r="J90" s="4">
        <v>190</v>
      </c>
      <c r="K90" s="20">
        <f>(I90+J90)/H90</f>
        <v>0.4716981132075472</v>
      </c>
      <c r="L90" s="1" t="s">
        <v>400</v>
      </c>
    </row>
    <row r="91" spans="1:12" ht="12.75">
      <c r="A91" s="3" t="s">
        <v>127</v>
      </c>
      <c r="B91" s="1" t="s">
        <v>128</v>
      </c>
      <c r="C91" s="1" t="s">
        <v>129</v>
      </c>
      <c r="D91" s="1" t="s">
        <v>43</v>
      </c>
      <c r="E91" s="6" t="str">
        <f>HYPERLINK("https://www.bioscidb.com/browse/deal_bg/1755","Link")</f>
        <v>Link</v>
      </c>
      <c r="F91" s="1" t="s">
        <v>69</v>
      </c>
      <c r="G91" s="16" t="s">
        <v>30</v>
      </c>
      <c r="H91" s="4">
        <v>150</v>
      </c>
      <c r="I91" s="4" t="s">
        <v>14</v>
      </c>
      <c r="J91" s="4" t="s">
        <v>14</v>
      </c>
      <c r="K91" s="20"/>
      <c r="L91" s="1" t="s">
        <v>130</v>
      </c>
    </row>
    <row r="92" spans="1:12" ht="12.75">
      <c r="A92" s="3" t="s">
        <v>91</v>
      </c>
      <c r="B92" s="1" t="s">
        <v>251</v>
      </c>
      <c r="C92" s="1" t="s">
        <v>252</v>
      </c>
      <c r="D92" s="1" t="s">
        <v>43</v>
      </c>
      <c r="E92" s="6" t="str">
        <f>HYPERLINK("https://www.bioscidb.com/browse/deal_bg/1206","Link")</f>
        <v>Link</v>
      </c>
      <c r="F92" s="1" t="s">
        <v>45</v>
      </c>
      <c r="G92" s="16" t="s">
        <v>253</v>
      </c>
      <c r="H92" s="4">
        <v>1.2</v>
      </c>
      <c r="I92" s="4" t="s">
        <v>14</v>
      </c>
      <c r="J92" s="4">
        <v>1.2</v>
      </c>
      <c r="K92" s="20"/>
      <c r="L92" s="1" t="s">
        <v>254</v>
      </c>
    </row>
    <row r="93" spans="1:12" ht="12.75">
      <c r="A93" s="3" t="s">
        <v>68</v>
      </c>
      <c r="B93" s="1" t="s">
        <v>144</v>
      </c>
      <c r="C93" s="1" t="s">
        <v>145</v>
      </c>
      <c r="D93" s="1" t="s">
        <v>43</v>
      </c>
      <c r="E93" s="6" t="str">
        <f>HYPERLINK("https://www.bioscidb.com/browse/deal_bg/2053","Link")</f>
        <v>Link</v>
      </c>
      <c r="F93" s="1" t="s">
        <v>69</v>
      </c>
      <c r="G93" s="16" t="s">
        <v>30</v>
      </c>
      <c r="H93" s="4">
        <v>209</v>
      </c>
      <c r="I93" s="4">
        <v>37</v>
      </c>
      <c r="J93" s="4" t="s">
        <v>14</v>
      </c>
      <c r="K93" s="20">
        <f>I93/H93</f>
        <v>0.17703349282296652</v>
      </c>
      <c r="L93" s="1" t="s">
        <v>146</v>
      </c>
    </row>
    <row r="94" spans="1:12" ht="12.75">
      <c r="A94" s="3" t="s">
        <v>75</v>
      </c>
      <c r="B94" s="1" t="s">
        <v>76</v>
      </c>
      <c r="C94" s="1" t="s">
        <v>77</v>
      </c>
      <c r="D94" s="1" t="s">
        <v>43</v>
      </c>
      <c r="E94" s="6" t="str">
        <f>HYPERLINK("https://www.bioscidb.com/browse/deal_bg/1137","Link")</f>
        <v>Link</v>
      </c>
      <c r="F94" s="1" t="s">
        <v>69</v>
      </c>
      <c r="G94" s="16" t="s">
        <v>30</v>
      </c>
      <c r="H94" s="4">
        <v>1000</v>
      </c>
      <c r="I94" s="4">
        <v>650</v>
      </c>
      <c r="J94" s="4" t="s">
        <v>14</v>
      </c>
      <c r="K94" s="20">
        <f>I94/H94</f>
        <v>0.65</v>
      </c>
      <c r="L94" s="1" t="s">
        <v>78</v>
      </c>
    </row>
    <row r="95" spans="1:12" ht="12.75">
      <c r="A95" s="3" t="s">
        <v>75</v>
      </c>
      <c r="B95" s="1" t="s">
        <v>80</v>
      </c>
      <c r="C95" s="1" t="s">
        <v>81</v>
      </c>
      <c r="D95" s="17" t="s">
        <v>43</v>
      </c>
      <c r="E95" s="6" t="str">
        <f>HYPERLINK("https://www.bioscidb.com/browse/deal_bg/1066","Link")</f>
        <v>Link</v>
      </c>
      <c r="F95" s="1" t="s">
        <v>69</v>
      </c>
      <c r="G95" s="16" t="s">
        <v>82</v>
      </c>
      <c r="H95" s="4">
        <v>14</v>
      </c>
      <c r="I95" s="4">
        <v>6.3</v>
      </c>
      <c r="J95" s="4" t="s">
        <v>14</v>
      </c>
      <c r="K95" s="20">
        <f>I95/H95</f>
        <v>0.45</v>
      </c>
      <c r="L95" s="1" t="s">
        <v>14</v>
      </c>
    </row>
    <row r="96" spans="1:12" ht="12.75">
      <c r="A96" s="3" t="s">
        <v>208</v>
      </c>
      <c r="B96" s="1" t="s">
        <v>369</v>
      </c>
      <c r="C96" s="1" t="s">
        <v>114</v>
      </c>
      <c r="D96" s="1" t="s">
        <v>43</v>
      </c>
      <c r="E96" s="6" t="str">
        <f>HYPERLINK("https://www.bioscidb.com/browse/deal_bg/6970","Link")</f>
        <v>Link</v>
      </c>
      <c r="F96" s="1" t="s">
        <v>69</v>
      </c>
      <c r="G96" s="16" t="s">
        <v>30</v>
      </c>
      <c r="H96" s="4">
        <v>240</v>
      </c>
      <c r="I96" s="4">
        <v>35</v>
      </c>
      <c r="J96" s="4" t="s">
        <v>14</v>
      </c>
      <c r="K96" s="20">
        <f>I96/H96</f>
        <v>0.14583333333333334</v>
      </c>
      <c r="L96" s="1" t="s">
        <v>370</v>
      </c>
    </row>
    <row r="97" spans="1:12" ht="12.75">
      <c r="A97" s="3" t="s">
        <v>224</v>
      </c>
      <c r="B97" s="1" t="s">
        <v>225</v>
      </c>
      <c r="C97" s="1" t="s">
        <v>226</v>
      </c>
      <c r="D97" s="1" t="s">
        <v>43</v>
      </c>
      <c r="E97" s="6" t="str">
        <f>HYPERLINK("https://www.bioscidb.com/browse/deal_bg/6835","Link")</f>
        <v>Link</v>
      </c>
      <c r="F97" s="1" t="s">
        <v>45</v>
      </c>
      <c r="G97" s="16" t="s">
        <v>206</v>
      </c>
      <c r="H97" s="4">
        <v>105.9</v>
      </c>
      <c r="I97" s="4">
        <v>12.9</v>
      </c>
      <c r="J97" s="4" t="s">
        <v>14</v>
      </c>
      <c r="K97" s="20">
        <f>I97/H97</f>
        <v>0.12181303116147309</v>
      </c>
      <c r="L97" s="1" t="s">
        <v>227</v>
      </c>
    </row>
    <row r="98" spans="1:12" ht="12.75">
      <c r="A98" s="3" t="s">
        <v>360</v>
      </c>
      <c r="B98" s="1" t="s">
        <v>361</v>
      </c>
      <c r="C98" s="1" t="s">
        <v>362</v>
      </c>
      <c r="D98" s="1" t="s">
        <v>43</v>
      </c>
      <c r="E98" s="6" t="str">
        <f>HYPERLINK("https://www.bioscidb.com/browse/deal_bg/1059","Link")</f>
        <v>Link</v>
      </c>
      <c r="F98" s="1" t="s">
        <v>15</v>
      </c>
      <c r="G98" s="16" t="s">
        <v>363</v>
      </c>
      <c r="H98" s="4">
        <v>10.4</v>
      </c>
      <c r="I98" s="4">
        <v>1.4</v>
      </c>
      <c r="J98" s="4" t="s">
        <v>14</v>
      </c>
      <c r="K98" s="20">
        <f>I98/H98</f>
        <v>0.1346153846153846</v>
      </c>
      <c r="L98" s="1" t="s">
        <v>14</v>
      </c>
    </row>
    <row r="99" spans="1:12" ht="25.5">
      <c r="A99" s="3" t="s">
        <v>168</v>
      </c>
      <c r="B99" s="1" t="s">
        <v>219</v>
      </c>
      <c r="C99" s="1" t="s">
        <v>220</v>
      </c>
      <c r="D99" s="1" t="s">
        <v>43</v>
      </c>
      <c r="E99" s="6" t="str">
        <f>HYPERLINK("https://www.bioscidb.com/browse/deal_bg/1713","Link")</f>
        <v>Link</v>
      </c>
      <c r="F99" s="1" t="s">
        <v>45</v>
      </c>
      <c r="G99" s="16" t="s">
        <v>221</v>
      </c>
      <c r="H99" s="4">
        <v>162.5</v>
      </c>
      <c r="I99" s="4">
        <v>15</v>
      </c>
      <c r="J99" s="4">
        <v>15</v>
      </c>
      <c r="K99" s="20">
        <f>(I99+J99)/H99</f>
        <v>0.18461538461538463</v>
      </c>
      <c r="L99" s="1" t="s">
        <v>222</v>
      </c>
    </row>
    <row r="100" spans="1:12" ht="12.75">
      <c r="A100" s="3" t="s">
        <v>342</v>
      </c>
      <c r="B100" s="1" t="s">
        <v>420</v>
      </c>
      <c r="C100" s="1" t="s">
        <v>421</v>
      </c>
      <c r="D100" s="1" t="s">
        <v>43</v>
      </c>
      <c r="E100" s="6" t="str">
        <f>HYPERLINK("https://www.bioscidb.com/browse/deal_bg/6586","Link")</f>
        <v>Link</v>
      </c>
      <c r="F100" s="1" t="s">
        <v>45</v>
      </c>
      <c r="G100" s="16" t="s">
        <v>30</v>
      </c>
      <c r="H100" s="4">
        <v>325</v>
      </c>
      <c r="I100" s="4">
        <v>100</v>
      </c>
      <c r="J100" s="4" t="s">
        <v>14</v>
      </c>
      <c r="K100" s="20">
        <f>I100/H100</f>
        <v>0.3076923076923077</v>
      </c>
      <c r="L100" s="1" t="s">
        <v>109</v>
      </c>
    </row>
    <row r="101" spans="1:12" ht="12.75">
      <c r="A101" s="3" t="s">
        <v>149</v>
      </c>
      <c r="B101" s="1" t="s">
        <v>150</v>
      </c>
      <c r="C101" s="1" t="s">
        <v>151</v>
      </c>
      <c r="D101" s="17" t="s">
        <v>43</v>
      </c>
      <c r="E101" s="6" t="str">
        <f>HYPERLINK("https://www.bioscidb.com/browse/deal_bg/2779","Link")</f>
        <v>Link</v>
      </c>
      <c r="F101" s="1" t="s">
        <v>69</v>
      </c>
      <c r="G101" s="16" t="s">
        <v>30</v>
      </c>
      <c r="H101" s="4">
        <v>2630</v>
      </c>
      <c r="I101" s="4">
        <v>200</v>
      </c>
      <c r="J101" s="4" t="s">
        <v>14</v>
      </c>
      <c r="K101" s="20">
        <f>I101/H101</f>
        <v>0.07604562737642585</v>
      </c>
      <c r="L101" s="1" t="s">
        <v>14</v>
      </c>
    </row>
    <row r="102" spans="1:12" ht="12.75">
      <c r="A102" s="3" t="s">
        <v>149</v>
      </c>
      <c r="B102" s="1" t="s">
        <v>962</v>
      </c>
      <c r="C102" s="1" t="s">
        <v>357</v>
      </c>
      <c r="D102" s="1" t="s">
        <v>43</v>
      </c>
      <c r="E102" s="6" t="str">
        <f>HYPERLINK("https://www.bioscidb.com/browse/deal_bg/15964","Link")</f>
        <v>Link</v>
      </c>
      <c r="F102" s="1" t="s">
        <v>69</v>
      </c>
      <c r="G102" s="16" t="s">
        <v>963</v>
      </c>
      <c r="H102" s="4">
        <v>562.5</v>
      </c>
      <c r="I102" s="4">
        <v>75</v>
      </c>
      <c r="J102" s="4" t="s">
        <v>14</v>
      </c>
      <c r="K102" s="20">
        <f>I102/H102</f>
        <v>0.13333333333333333</v>
      </c>
      <c r="L102" s="1" t="s">
        <v>14</v>
      </c>
    </row>
    <row r="103" spans="1:12" ht="12.75">
      <c r="A103" s="3" t="s">
        <v>44</v>
      </c>
      <c r="B103" s="1" t="s">
        <v>46</v>
      </c>
      <c r="C103" s="1" t="s">
        <v>47</v>
      </c>
      <c r="D103" s="1" t="s">
        <v>43</v>
      </c>
      <c r="E103" s="6" t="str">
        <f>HYPERLINK("https://www.bioscidb.com/browse/deal_bg/334","Link")</f>
        <v>Link</v>
      </c>
      <c r="F103" s="1" t="s">
        <v>45</v>
      </c>
      <c r="G103" s="16" t="s">
        <v>30</v>
      </c>
      <c r="H103" s="4">
        <v>1080</v>
      </c>
      <c r="I103" s="4">
        <v>610</v>
      </c>
      <c r="J103" s="4" t="s">
        <v>14</v>
      </c>
      <c r="K103" s="20">
        <f>I103/H103</f>
        <v>0.5648148148148148</v>
      </c>
      <c r="L103" s="1" t="s">
        <v>48</v>
      </c>
    </row>
    <row r="104" spans="1:12" ht="25.5">
      <c r="A104" s="3" t="s">
        <v>44</v>
      </c>
      <c r="B104" s="1" t="s">
        <v>939</v>
      </c>
      <c r="C104" s="1" t="s">
        <v>940</v>
      </c>
      <c r="D104" s="1" t="s">
        <v>43</v>
      </c>
      <c r="E104" s="6" t="str">
        <f>HYPERLINK("https://www.bioscidb.com/browse/deal_bg/727","Link")</f>
        <v>Link</v>
      </c>
      <c r="F104" s="1" t="s">
        <v>15</v>
      </c>
      <c r="G104" s="16" t="s">
        <v>941</v>
      </c>
      <c r="H104" s="4">
        <v>264.9</v>
      </c>
      <c r="I104" s="4">
        <v>7.5</v>
      </c>
      <c r="J104" s="4" t="s">
        <v>14</v>
      </c>
      <c r="K104" s="20">
        <f>I104/H104</f>
        <v>0.028312570781426957</v>
      </c>
      <c r="L104" s="1" t="s">
        <v>942</v>
      </c>
    </row>
    <row r="105" spans="1:12" ht="12.75">
      <c r="A105" s="3" t="s">
        <v>233</v>
      </c>
      <c r="B105" s="1" t="s">
        <v>234</v>
      </c>
      <c r="C105" s="1" t="s">
        <v>132</v>
      </c>
      <c r="D105" s="1" t="s">
        <v>43</v>
      </c>
      <c r="E105" s="6" t="str">
        <f>HYPERLINK("https://www.bioscidb.com/browse/deal_bg/5816","Link")</f>
        <v>Link</v>
      </c>
      <c r="F105" s="1" t="s">
        <v>45</v>
      </c>
      <c r="G105" s="16" t="s">
        <v>30</v>
      </c>
      <c r="H105" s="4">
        <v>275</v>
      </c>
      <c r="I105" s="4">
        <v>75</v>
      </c>
      <c r="J105" s="4" t="s">
        <v>14</v>
      </c>
      <c r="K105" s="20">
        <f>I105/H105</f>
        <v>0.2727272727272727</v>
      </c>
      <c r="L105" s="1" t="s">
        <v>235</v>
      </c>
    </row>
    <row r="106" spans="1:12" ht="12.75">
      <c r="A106" s="3" t="s">
        <v>62</v>
      </c>
      <c r="B106" s="1" t="s">
        <v>63</v>
      </c>
      <c r="C106" s="1" t="s">
        <v>64</v>
      </c>
      <c r="D106" s="1" t="s">
        <v>43</v>
      </c>
      <c r="E106" s="6" t="str">
        <f>HYPERLINK("https://www.bioscidb.com/browse/deal_bg/174","Link")</f>
        <v>Link</v>
      </c>
      <c r="F106" s="1" t="s">
        <v>45</v>
      </c>
      <c r="G106" s="16" t="s">
        <v>30</v>
      </c>
      <c r="H106" s="4">
        <v>525</v>
      </c>
      <c r="I106" s="4">
        <v>225</v>
      </c>
      <c r="J106" s="4" t="s">
        <v>14</v>
      </c>
      <c r="K106" s="20">
        <f>I106/H106</f>
        <v>0.42857142857142855</v>
      </c>
      <c r="L106" s="1" t="s">
        <v>65</v>
      </c>
    </row>
    <row r="107" spans="1:12" ht="12.75">
      <c r="A107" s="3" t="s">
        <v>103</v>
      </c>
      <c r="B107" s="1" t="s">
        <v>107</v>
      </c>
      <c r="C107" s="1" t="s">
        <v>108</v>
      </c>
      <c r="D107" s="1" t="s">
        <v>43</v>
      </c>
      <c r="E107" s="6" t="str">
        <f>HYPERLINK("https://www.bioscidb.com/browse/deal_bg/1337","Link")</f>
        <v>Link</v>
      </c>
      <c r="F107" s="1" t="s">
        <v>69</v>
      </c>
      <c r="G107" s="16" t="s">
        <v>30</v>
      </c>
      <c r="H107" s="4">
        <v>600</v>
      </c>
      <c r="I107" s="4">
        <v>375</v>
      </c>
      <c r="J107" s="4" t="s">
        <v>14</v>
      </c>
      <c r="K107" s="20">
        <f>I107/H107</f>
        <v>0.625</v>
      </c>
      <c r="L107" s="1" t="s">
        <v>109</v>
      </c>
    </row>
    <row r="108" spans="1:12" ht="12.75">
      <c r="A108" s="3" t="s">
        <v>245</v>
      </c>
      <c r="B108" s="1" t="s">
        <v>274</v>
      </c>
      <c r="C108" s="1" t="s">
        <v>275</v>
      </c>
      <c r="D108" s="17" t="s">
        <v>43</v>
      </c>
      <c r="E108" s="6" t="str">
        <f>HYPERLINK("https://www.bioscidb.com/browse/deal_bg/7574","Link")</f>
        <v>Link</v>
      </c>
      <c r="F108" s="1" t="s">
        <v>27</v>
      </c>
      <c r="G108" s="16" t="s">
        <v>100</v>
      </c>
      <c r="H108" s="4">
        <v>135.5</v>
      </c>
      <c r="I108" s="4">
        <v>96.8</v>
      </c>
      <c r="J108" s="4" t="s">
        <v>14</v>
      </c>
      <c r="K108" s="20">
        <f>I108/H108</f>
        <v>0.7143911439114391</v>
      </c>
      <c r="L108" s="1" t="s">
        <v>276</v>
      </c>
    </row>
    <row r="109" spans="1:12" ht="12.75">
      <c r="A109" s="3" t="s">
        <v>124</v>
      </c>
      <c r="B109" s="1" t="s">
        <v>125</v>
      </c>
      <c r="C109" s="1" t="s">
        <v>126</v>
      </c>
      <c r="D109" s="1" t="s">
        <v>43</v>
      </c>
      <c r="E109" s="6" t="str">
        <f>HYPERLINK("https://www.bioscidb.com/browse/deal_bg/1719","Link")</f>
        <v>Link</v>
      </c>
      <c r="F109" s="1" t="s">
        <v>69</v>
      </c>
      <c r="G109" s="16" t="s">
        <v>30</v>
      </c>
      <c r="H109" s="4">
        <v>560</v>
      </c>
      <c r="I109" s="4">
        <v>75</v>
      </c>
      <c r="J109" s="4" t="s">
        <v>14</v>
      </c>
      <c r="K109" s="20">
        <f>I109/H109</f>
        <v>0.13392857142857142</v>
      </c>
      <c r="L109" s="1" t="s">
        <v>14</v>
      </c>
    </row>
    <row r="110" spans="1:12" ht="12.75">
      <c r="A110" s="3" t="s">
        <v>685</v>
      </c>
      <c r="B110" s="1" t="s">
        <v>686</v>
      </c>
      <c r="C110" s="1" t="s">
        <v>242</v>
      </c>
      <c r="D110" s="1" t="s">
        <v>43</v>
      </c>
      <c r="E110" s="6" t="str">
        <f>HYPERLINK("https://www.bioscidb.com/browse/deal_bg/1809","Link")</f>
        <v>Link</v>
      </c>
      <c r="F110" s="1" t="s">
        <v>15</v>
      </c>
      <c r="G110" s="16" t="s">
        <v>30</v>
      </c>
      <c r="H110" s="4">
        <v>382.5</v>
      </c>
      <c r="I110" s="4">
        <v>92.5</v>
      </c>
      <c r="J110" s="4" t="s">
        <v>14</v>
      </c>
      <c r="K110" s="20">
        <f>I110/H110</f>
        <v>0.24183006535947713</v>
      </c>
      <c r="L110" s="1" t="s">
        <v>687</v>
      </c>
    </row>
    <row r="111" spans="1:12" ht="12.75">
      <c r="A111" s="3" t="s">
        <v>34</v>
      </c>
      <c r="B111" s="1" t="s">
        <v>406</v>
      </c>
      <c r="C111" s="1" t="s">
        <v>407</v>
      </c>
      <c r="D111" s="1" t="s">
        <v>43</v>
      </c>
      <c r="E111" s="6" t="str">
        <f>HYPERLINK("https://www.bioscidb.com/browse/deal_bg/2219","Link")</f>
        <v>Link</v>
      </c>
      <c r="F111" s="1" t="s">
        <v>15</v>
      </c>
      <c r="G111" s="16" t="s">
        <v>30</v>
      </c>
      <c r="H111" s="4">
        <v>851</v>
      </c>
      <c r="I111" s="4">
        <v>276</v>
      </c>
      <c r="J111" s="4" t="s">
        <v>14</v>
      </c>
      <c r="K111" s="20">
        <f>I111/H111</f>
        <v>0.32432432432432434</v>
      </c>
      <c r="L111" s="1" t="s">
        <v>408</v>
      </c>
    </row>
    <row r="112" spans="1:12" ht="25.5">
      <c r="A112" s="3" t="s">
        <v>36</v>
      </c>
      <c r="B112" s="1" t="s">
        <v>212</v>
      </c>
      <c r="C112" s="1" t="s">
        <v>213</v>
      </c>
      <c r="D112" s="1" t="s">
        <v>43</v>
      </c>
      <c r="E112" s="6" t="str">
        <f>HYPERLINK("https://www.bioscidb.com/browse/deal_bg/6013","Link")</f>
        <v>Link</v>
      </c>
      <c r="F112" s="1" t="s">
        <v>27</v>
      </c>
      <c r="G112" s="16" t="s">
        <v>214</v>
      </c>
      <c r="H112" s="4">
        <v>37</v>
      </c>
      <c r="I112" s="4" t="s">
        <v>14</v>
      </c>
      <c r="J112" s="4" t="s">
        <v>14</v>
      </c>
      <c r="K112" s="20"/>
      <c r="L112" s="1" t="s">
        <v>14</v>
      </c>
    </row>
    <row r="113" spans="1:12" ht="25.5">
      <c r="A113" s="3" t="s">
        <v>943</v>
      </c>
      <c r="B113" s="1" t="s">
        <v>944</v>
      </c>
      <c r="C113" s="1" t="s">
        <v>475</v>
      </c>
      <c r="D113" s="1" t="s">
        <v>43</v>
      </c>
      <c r="E113" s="6" t="str">
        <f>HYPERLINK("https://www.bioscidb.com/browse/deal_bg/15909","Link")</f>
        <v>Link</v>
      </c>
      <c r="F113" s="1" t="s">
        <v>15</v>
      </c>
      <c r="G113" s="16" t="s">
        <v>945</v>
      </c>
      <c r="H113" s="4">
        <v>295</v>
      </c>
      <c r="I113" s="4">
        <v>75</v>
      </c>
      <c r="J113" s="4" t="s">
        <v>14</v>
      </c>
      <c r="K113" s="20">
        <f>I113/H113</f>
        <v>0.2542372881355932</v>
      </c>
      <c r="L113" s="1" t="s">
        <v>946</v>
      </c>
    </row>
    <row r="114" spans="1:12" ht="12.75">
      <c r="A114" s="3" t="s">
        <v>13</v>
      </c>
      <c r="B114" s="1" t="s">
        <v>200</v>
      </c>
      <c r="C114" s="1" t="s">
        <v>201</v>
      </c>
      <c r="D114" s="17" t="s">
        <v>43</v>
      </c>
      <c r="E114" s="6" t="str">
        <f>HYPERLINK("https://www.bioscidb.com/browse/deal_bg/14739","Link")</f>
        <v>Link</v>
      </c>
      <c r="F114" s="1" t="s">
        <v>15</v>
      </c>
      <c r="G114" s="16" t="s">
        <v>202</v>
      </c>
      <c r="H114" s="4">
        <v>75</v>
      </c>
      <c r="I114" s="4">
        <v>37.5</v>
      </c>
      <c r="J114" s="4" t="s">
        <v>14</v>
      </c>
      <c r="K114" s="20">
        <f>I114/H114</f>
        <v>0.5</v>
      </c>
      <c r="L114" s="1" t="s">
        <v>14</v>
      </c>
    </row>
    <row r="115" spans="1:12" ht="12.75">
      <c r="A115" s="3" t="s">
        <v>238</v>
      </c>
      <c r="B115" s="1" t="s">
        <v>239</v>
      </c>
      <c r="C115" s="1" t="s">
        <v>240</v>
      </c>
      <c r="D115" s="1" t="s">
        <v>43</v>
      </c>
      <c r="E115" s="6" t="str">
        <f>HYPERLINK("https://www.bioscidb.com/browse/deal_bg/7429","Link")</f>
        <v>Link</v>
      </c>
      <c r="F115" s="1" t="s">
        <v>27</v>
      </c>
      <c r="G115" s="16" t="s">
        <v>30</v>
      </c>
      <c r="H115" s="4">
        <v>104</v>
      </c>
      <c r="I115" s="4">
        <v>59</v>
      </c>
      <c r="J115" s="4" t="s">
        <v>14</v>
      </c>
      <c r="K115" s="20">
        <f>I115/H115</f>
        <v>0.5673076923076923</v>
      </c>
      <c r="L115" s="1" t="s">
        <v>14</v>
      </c>
    </row>
    <row r="116" spans="1:12" ht="12.75">
      <c r="A116" s="3" t="s">
        <v>680</v>
      </c>
      <c r="B116" s="1" t="s">
        <v>681</v>
      </c>
      <c r="C116" s="1" t="s">
        <v>682</v>
      </c>
      <c r="D116" s="17" t="s">
        <v>43</v>
      </c>
      <c r="E116" s="6" t="str">
        <f>HYPERLINK("https://www.bioscidb.com/browse/deal_bg/12660","Link")</f>
        <v>Link</v>
      </c>
      <c r="F116" s="1" t="s">
        <v>15</v>
      </c>
      <c r="G116" s="16" t="s">
        <v>683</v>
      </c>
      <c r="H116" s="4">
        <v>32</v>
      </c>
      <c r="I116" s="4">
        <v>7</v>
      </c>
      <c r="J116" s="4" t="s">
        <v>14</v>
      </c>
      <c r="K116" s="20">
        <f>I116/H116</f>
        <v>0.21875</v>
      </c>
      <c r="L116" s="1" t="s">
        <v>684</v>
      </c>
    </row>
    <row r="117" spans="1:12" ht="12.75">
      <c r="A117" s="3"/>
      <c r="B117" s="1"/>
      <c r="C117" s="1"/>
      <c r="D117" s="17"/>
      <c r="E117" s="6"/>
      <c r="F117" s="1"/>
      <c r="G117" s="16"/>
      <c r="H117" s="4"/>
      <c r="I117" s="4"/>
      <c r="J117" s="4"/>
      <c r="K117" s="20"/>
      <c r="L117" s="1"/>
    </row>
    <row r="118" spans="1:12" ht="12.75">
      <c r="A118" s="3"/>
      <c r="B118" s="1"/>
      <c r="C118" s="1"/>
      <c r="D118" s="23" t="s">
        <v>995</v>
      </c>
      <c r="E118" s="6"/>
      <c r="F118" s="1"/>
      <c r="G118" s="16"/>
      <c r="H118" s="4">
        <f>AVERAGE(H40:H116)</f>
        <v>459.15600000000006</v>
      </c>
      <c r="I118" s="4">
        <f>AVERAGE(I40:I116)</f>
        <v>181.21508620689653</v>
      </c>
      <c r="J118" s="4">
        <f>AVERAGE(J40:J116)</f>
        <v>46.102631578947374</v>
      </c>
      <c r="K118" s="20">
        <f>AVERAGE(K40:K116)</f>
        <v>0.3419133565241917</v>
      </c>
      <c r="L118" s="1"/>
    </row>
    <row r="119" spans="1:12" ht="12.75">
      <c r="A119" s="3"/>
      <c r="B119" s="1"/>
      <c r="C119" s="1"/>
      <c r="D119" s="23" t="s">
        <v>996</v>
      </c>
      <c r="E119" s="6"/>
      <c r="F119" s="1"/>
      <c r="G119" s="16"/>
      <c r="H119" s="4">
        <f>MEDIAN(H40:H116)</f>
        <v>275</v>
      </c>
      <c r="I119" s="4">
        <f>MEDIAN(I40:I116)</f>
        <v>95.9</v>
      </c>
      <c r="J119" s="4">
        <f>MEDIAN(J40:J116)</f>
        <v>29</v>
      </c>
      <c r="K119" s="20">
        <f>MEDIAN(K40:K116)</f>
        <v>0.29434599156118146</v>
      </c>
      <c r="L119" s="1"/>
    </row>
    <row r="120" spans="1:12" ht="12.75">
      <c r="A120" s="3"/>
      <c r="B120" s="1"/>
      <c r="C120" s="1"/>
      <c r="D120" s="17"/>
      <c r="E120" s="6"/>
      <c r="F120" s="1"/>
      <c r="G120" s="16"/>
      <c r="H120" s="4"/>
      <c r="I120" s="4"/>
      <c r="J120" s="4"/>
      <c r="K120" s="20"/>
      <c r="L120" s="1"/>
    </row>
    <row r="121" spans="1:12" ht="25.5">
      <c r="A121" s="3" t="s">
        <v>869</v>
      </c>
      <c r="B121" s="1" t="s">
        <v>870</v>
      </c>
      <c r="C121" s="1" t="s">
        <v>871</v>
      </c>
      <c r="D121" s="17" t="s">
        <v>50</v>
      </c>
      <c r="E121" s="6" t="str">
        <f>HYPERLINK("https://www.bioscidb.com/browse/deal_bg/15413","Link")</f>
        <v>Link</v>
      </c>
      <c r="F121" s="1" t="s">
        <v>27</v>
      </c>
      <c r="G121" s="16" t="s">
        <v>872</v>
      </c>
      <c r="H121" s="4" t="s">
        <v>14</v>
      </c>
      <c r="I121" s="4" t="s">
        <v>14</v>
      </c>
      <c r="J121" s="4" t="s">
        <v>14</v>
      </c>
      <c r="K121" s="20"/>
      <c r="L121" s="1" t="s">
        <v>873</v>
      </c>
    </row>
    <row r="122" spans="1:12" ht="12.75">
      <c r="A122" s="3" t="s">
        <v>757</v>
      </c>
      <c r="B122" s="1" t="s">
        <v>770</v>
      </c>
      <c r="C122" s="1" t="s">
        <v>145</v>
      </c>
      <c r="D122" s="17" t="s">
        <v>50</v>
      </c>
      <c r="E122" s="6" t="str">
        <f>HYPERLINK("https://www.bioscidb.com/browse/deal_bg/14313","Link")</f>
        <v>Link</v>
      </c>
      <c r="F122" s="1" t="s">
        <v>27</v>
      </c>
      <c r="G122" s="16" t="s">
        <v>771</v>
      </c>
      <c r="H122" s="4">
        <v>1267</v>
      </c>
      <c r="I122" s="4">
        <v>1004</v>
      </c>
      <c r="J122" s="4" t="s">
        <v>14</v>
      </c>
      <c r="K122" s="20">
        <f>I122/H122</f>
        <v>0.7924230465666929</v>
      </c>
      <c r="L122" s="1" t="s">
        <v>772</v>
      </c>
    </row>
    <row r="123" spans="1:12" ht="12.75">
      <c r="A123" s="3" t="s">
        <v>722</v>
      </c>
      <c r="B123" s="1" t="s">
        <v>723</v>
      </c>
      <c r="C123" s="1" t="s">
        <v>724</v>
      </c>
      <c r="D123" s="17" t="s">
        <v>50</v>
      </c>
      <c r="E123" s="6" t="str">
        <f>HYPERLINK("https://www.bioscidb.com/browse/deal_bg/13834","Link")</f>
        <v>Link</v>
      </c>
      <c r="F123" s="1" t="s">
        <v>27</v>
      </c>
      <c r="G123" s="16" t="s">
        <v>725</v>
      </c>
      <c r="H123" s="4">
        <v>215</v>
      </c>
      <c r="I123" s="4" t="s">
        <v>14</v>
      </c>
      <c r="J123" s="4">
        <v>35</v>
      </c>
      <c r="K123" s="20">
        <f>J123/H123</f>
        <v>0.16279069767441862</v>
      </c>
      <c r="L123" s="1" t="s">
        <v>726</v>
      </c>
    </row>
    <row r="124" spans="1:12" ht="12.75">
      <c r="A124" s="3" t="s">
        <v>727</v>
      </c>
      <c r="B124" s="1" t="s">
        <v>728</v>
      </c>
      <c r="C124" s="1" t="s">
        <v>729</v>
      </c>
      <c r="D124" s="1" t="s">
        <v>50</v>
      </c>
      <c r="E124" s="6" t="str">
        <f>HYPERLINK("https://www.bioscidb.com/browse/deal_bg/13478","Link")</f>
        <v>Link</v>
      </c>
      <c r="F124" s="1" t="s">
        <v>45</v>
      </c>
      <c r="G124" s="16" t="s">
        <v>730</v>
      </c>
      <c r="H124" s="4">
        <v>198</v>
      </c>
      <c r="I124" s="4">
        <v>3</v>
      </c>
      <c r="J124" s="4" t="s">
        <v>14</v>
      </c>
      <c r="K124" s="20"/>
      <c r="L124" s="1" t="s">
        <v>731</v>
      </c>
    </row>
    <row r="125" spans="1:12" ht="12.75">
      <c r="A125" s="3" t="s">
        <v>667</v>
      </c>
      <c r="B125" s="1" t="s">
        <v>669</v>
      </c>
      <c r="C125" s="1" t="s">
        <v>71</v>
      </c>
      <c r="D125" s="17" t="s">
        <v>50</v>
      </c>
      <c r="E125" s="6" t="str">
        <f>HYPERLINK("https://www.bioscidb.com/browse/deal_bg/12442","Link")</f>
        <v>Link</v>
      </c>
      <c r="F125" s="1" t="s">
        <v>69</v>
      </c>
      <c r="G125" s="16" t="s">
        <v>30</v>
      </c>
      <c r="H125" s="4">
        <v>7000</v>
      </c>
      <c r="I125" s="4">
        <v>1100</v>
      </c>
      <c r="J125" s="4" t="s">
        <v>14</v>
      </c>
      <c r="K125" s="20">
        <f>I125/H125</f>
        <v>0.15714285714285714</v>
      </c>
      <c r="L125" s="1" t="s">
        <v>670</v>
      </c>
    </row>
    <row r="126" spans="1:12" ht="12.75">
      <c r="A126" s="3" t="s">
        <v>594</v>
      </c>
      <c r="B126" s="1" t="s">
        <v>601</v>
      </c>
      <c r="C126" s="1" t="s">
        <v>602</v>
      </c>
      <c r="D126" s="1" t="s">
        <v>50</v>
      </c>
      <c r="E126" s="6" t="str">
        <f>HYPERLINK("https://www.bioscidb.com/browse/deal_bg/10098","Link")</f>
        <v>Link</v>
      </c>
      <c r="F126" s="1" t="s">
        <v>27</v>
      </c>
      <c r="G126" s="16" t="s">
        <v>603</v>
      </c>
      <c r="H126" s="4">
        <v>12.6</v>
      </c>
      <c r="I126" s="4" t="s">
        <v>14</v>
      </c>
      <c r="J126" s="4">
        <v>12.6</v>
      </c>
      <c r="K126" s="20"/>
      <c r="L126" s="1" t="s">
        <v>604</v>
      </c>
    </row>
    <row r="127" spans="1:12" ht="12.75">
      <c r="A127" s="3" t="s">
        <v>559</v>
      </c>
      <c r="B127" s="1" t="s">
        <v>563</v>
      </c>
      <c r="C127" s="1" t="s">
        <v>564</v>
      </c>
      <c r="D127" s="1" t="s">
        <v>50</v>
      </c>
      <c r="E127" s="6" t="str">
        <f>HYPERLINK("https://www.bioscidb.com/browse/deal_bg/9605","Link")</f>
        <v>Link</v>
      </c>
      <c r="F127" s="1" t="s">
        <v>27</v>
      </c>
      <c r="G127" s="16" t="s">
        <v>206</v>
      </c>
      <c r="H127" s="4">
        <v>36</v>
      </c>
      <c r="I127" s="4" t="s">
        <v>14</v>
      </c>
      <c r="J127" s="4">
        <v>13.5</v>
      </c>
      <c r="K127" s="20">
        <f>J127/H127</f>
        <v>0.375</v>
      </c>
      <c r="L127" s="1" t="s">
        <v>565</v>
      </c>
    </row>
    <row r="128" spans="1:12" ht="25.5">
      <c r="A128" s="3" t="s">
        <v>509</v>
      </c>
      <c r="B128" s="1" t="s">
        <v>510</v>
      </c>
      <c r="C128" s="1" t="s">
        <v>118</v>
      </c>
      <c r="D128" s="1" t="s">
        <v>50</v>
      </c>
      <c r="E128" s="6" t="str">
        <f>HYPERLINK("https://www.bioscidb.com/browse/deal_bg/7607","Link")</f>
        <v>Link</v>
      </c>
      <c r="F128" s="1" t="s">
        <v>69</v>
      </c>
      <c r="G128" s="16" t="s">
        <v>511</v>
      </c>
      <c r="H128" s="4">
        <v>7000</v>
      </c>
      <c r="I128" s="4">
        <v>2500</v>
      </c>
      <c r="J128" s="4" t="s">
        <v>14</v>
      </c>
      <c r="K128" s="20">
        <f>I128/H128</f>
        <v>0.35714285714285715</v>
      </c>
      <c r="L128" s="1" t="s">
        <v>512</v>
      </c>
    </row>
    <row r="129" spans="1:12" ht="12.75">
      <c r="A129" s="3" t="s">
        <v>494</v>
      </c>
      <c r="B129" s="1" t="s">
        <v>501</v>
      </c>
      <c r="C129" s="1" t="s">
        <v>421</v>
      </c>
      <c r="D129" s="1" t="s">
        <v>50</v>
      </c>
      <c r="E129" s="6" t="str">
        <f>HYPERLINK("https://www.bioscidb.com/browse/deal_bg/7302","Link")</f>
        <v>Link</v>
      </c>
      <c r="F129" s="1" t="s">
        <v>27</v>
      </c>
      <c r="G129" s="16" t="s">
        <v>502</v>
      </c>
      <c r="H129" s="4">
        <v>6546</v>
      </c>
      <c r="I129" s="4">
        <v>5900</v>
      </c>
      <c r="J129" s="4" t="s">
        <v>14</v>
      </c>
      <c r="K129" s="20">
        <f>I129/H129</f>
        <v>0.9013137794072716</v>
      </c>
      <c r="L129" s="1" t="s">
        <v>503</v>
      </c>
    </row>
    <row r="130" spans="1:12" ht="12.75">
      <c r="A130" s="3" t="s">
        <v>473</v>
      </c>
      <c r="B130" s="1" t="s">
        <v>497</v>
      </c>
      <c r="C130" s="1" t="s">
        <v>205</v>
      </c>
      <c r="D130" s="1" t="s">
        <v>50</v>
      </c>
      <c r="E130" s="6" t="str">
        <f>HYPERLINK("https://www.bioscidb.com/browse/deal_bg/6481","Link")</f>
        <v>Link</v>
      </c>
      <c r="F130" s="1" t="s">
        <v>45</v>
      </c>
      <c r="G130" s="16" t="s">
        <v>100</v>
      </c>
      <c r="H130" s="4">
        <v>947</v>
      </c>
      <c r="I130" s="4">
        <v>125</v>
      </c>
      <c r="J130" s="4">
        <v>104</v>
      </c>
      <c r="K130" s="20">
        <f>(I130+J130)/H130</f>
        <v>0.24181626187961985</v>
      </c>
      <c r="L130" s="1" t="s">
        <v>498</v>
      </c>
    </row>
    <row r="131" spans="1:12" ht="12.75">
      <c r="A131" s="3" t="s">
        <v>373</v>
      </c>
      <c r="B131" s="1" t="s">
        <v>374</v>
      </c>
      <c r="C131" s="1" t="s">
        <v>105</v>
      </c>
      <c r="D131" s="1" t="s">
        <v>50</v>
      </c>
      <c r="E131" s="6" t="str">
        <f>HYPERLINK("https://www.bioscidb.com/browse/deal_bg/3746","Link")</f>
        <v>Link</v>
      </c>
      <c r="F131" s="1" t="s">
        <v>27</v>
      </c>
      <c r="G131" s="16" t="s">
        <v>82</v>
      </c>
      <c r="H131" s="4">
        <v>410</v>
      </c>
      <c r="I131" s="4">
        <v>315</v>
      </c>
      <c r="J131" s="4" t="s">
        <v>14</v>
      </c>
      <c r="K131" s="20">
        <f>I131/H131</f>
        <v>0.7682926829268293</v>
      </c>
      <c r="L131" s="1" t="s">
        <v>375</v>
      </c>
    </row>
    <row r="132" spans="1:12" ht="12.75">
      <c r="A132" s="3" t="s">
        <v>152</v>
      </c>
      <c r="B132" s="1" t="s">
        <v>153</v>
      </c>
      <c r="C132" s="1" t="s">
        <v>154</v>
      </c>
      <c r="D132" s="17" t="s">
        <v>50</v>
      </c>
      <c r="E132" s="6" t="str">
        <f>HYPERLINK("https://www.bioscidb.com/browse/deal_bg/3221","Link")</f>
        <v>Link</v>
      </c>
      <c r="F132" s="1" t="s">
        <v>69</v>
      </c>
      <c r="G132" s="16" t="s">
        <v>155</v>
      </c>
      <c r="H132" s="4">
        <v>120</v>
      </c>
      <c r="I132" s="4" t="s">
        <v>14</v>
      </c>
      <c r="J132" s="4">
        <v>65</v>
      </c>
      <c r="K132" s="20">
        <f>J132/H132</f>
        <v>0.5416666666666666</v>
      </c>
      <c r="L132" s="1" t="s">
        <v>14</v>
      </c>
    </row>
    <row r="133" spans="1:12" ht="12.75">
      <c r="A133" s="3" t="s">
        <v>190</v>
      </c>
      <c r="B133" s="1" t="s">
        <v>215</v>
      </c>
      <c r="C133" s="1" t="s">
        <v>216</v>
      </c>
      <c r="D133" s="1" t="s">
        <v>50</v>
      </c>
      <c r="E133" s="6" t="str">
        <f>HYPERLINK("https://www.bioscidb.com/browse/deal_bg/2554","Link")</f>
        <v>Link</v>
      </c>
      <c r="F133" s="1" t="s">
        <v>27</v>
      </c>
      <c r="G133" s="16" t="s">
        <v>217</v>
      </c>
      <c r="H133" s="4">
        <v>1460</v>
      </c>
      <c r="I133" s="4">
        <v>1100</v>
      </c>
      <c r="J133" s="4" t="s">
        <v>14</v>
      </c>
      <c r="K133" s="20">
        <f>I133/H133</f>
        <v>0.7534246575342466</v>
      </c>
      <c r="L133" s="1" t="s">
        <v>218</v>
      </c>
    </row>
    <row r="134" spans="1:12" ht="25.5">
      <c r="A134" s="3" t="s">
        <v>115</v>
      </c>
      <c r="B134" s="1" t="s">
        <v>438</v>
      </c>
      <c r="C134" s="1" t="s">
        <v>439</v>
      </c>
      <c r="D134" s="1" t="s">
        <v>50</v>
      </c>
      <c r="E134" s="6" t="str">
        <f>HYPERLINK("https://www.bioscidb.com/browse/deal_bg/1549","Link")</f>
        <v>Link</v>
      </c>
      <c r="F134" s="1" t="s">
        <v>27</v>
      </c>
      <c r="G134" s="16" t="s">
        <v>440</v>
      </c>
      <c r="H134" s="4">
        <v>100</v>
      </c>
      <c r="I134" s="4">
        <v>35</v>
      </c>
      <c r="J134" s="4">
        <v>15</v>
      </c>
      <c r="K134" s="20">
        <f>(I134+J134)/H134</f>
        <v>0.5</v>
      </c>
      <c r="L134" s="1" t="s">
        <v>14</v>
      </c>
    </row>
    <row r="135" spans="1:12" ht="12.75">
      <c r="A135" s="3" t="s">
        <v>68</v>
      </c>
      <c r="B135" s="1" t="s">
        <v>241</v>
      </c>
      <c r="C135" s="1" t="s">
        <v>242</v>
      </c>
      <c r="D135" s="1" t="s">
        <v>50</v>
      </c>
      <c r="E135" s="6" t="str">
        <f>HYPERLINK("https://www.bioscidb.com/browse/deal_bg/1015","Link")</f>
        <v>Link</v>
      </c>
      <c r="F135" s="1" t="s">
        <v>27</v>
      </c>
      <c r="G135" s="16" t="s">
        <v>82</v>
      </c>
      <c r="H135" s="4">
        <v>812.8</v>
      </c>
      <c r="I135" s="4">
        <v>704.4</v>
      </c>
      <c r="J135" s="4" t="s">
        <v>14</v>
      </c>
      <c r="K135" s="20">
        <f>I135/H135</f>
        <v>0.8666338582677166</v>
      </c>
      <c r="L135" s="1" t="s">
        <v>243</v>
      </c>
    </row>
    <row r="136" spans="1:12" ht="12.75">
      <c r="A136" s="3" t="s">
        <v>75</v>
      </c>
      <c r="B136" s="1" t="s">
        <v>117</v>
      </c>
      <c r="C136" s="1" t="s">
        <v>118</v>
      </c>
      <c r="D136" s="17" t="s">
        <v>50</v>
      </c>
      <c r="E136" s="6" t="str">
        <f>HYPERLINK("https://www.bioscidb.com/browse/deal_bg/1592","Link")</f>
        <v>Link</v>
      </c>
      <c r="F136" s="1" t="s">
        <v>69</v>
      </c>
      <c r="G136" s="16" t="s">
        <v>30</v>
      </c>
      <c r="H136" s="4">
        <v>1150</v>
      </c>
      <c r="I136" s="4">
        <v>560</v>
      </c>
      <c r="J136" s="4" t="s">
        <v>14</v>
      </c>
      <c r="K136" s="20">
        <f>I136/H136</f>
        <v>0.48695652173913045</v>
      </c>
      <c r="L136" s="1" t="s">
        <v>14</v>
      </c>
    </row>
    <row r="137" spans="1:12" ht="12.75">
      <c r="A137" s="3" t="s">
        <v>75</v>
      </c>
      <c r="B137" s="1" t="s">
        <v>745</v>
      </c>
      <c r="C137" s="1" t="s">
        <v>268</v>
      </c>
      <c r="D137" s="17" t="s">
        <v>50</v>
      </c>
      <c r="E137" s="6" t="str">
        <f>HYPERLINK("https://www.bioscidb.com/browse/deal_bg/1041","Link")</f>
        <v>Link</v>
      </c>
      <c r="F137" s="1" t="s">
        <v>15</v>
      </c>
      <c r="G137" s="16" t="s">
        <v>746</v>
      </c>
      <c r="H137" s="4">
        <v>240</v>
      </c>
      <c r="I137" s="4">
        <v>100</v>
      </c>
      <c r="J137" s="4" t="s">
        <v>14</v>
      </c>
      <c r="K137" s="20">
        <f>I137/H137</f>
        <v>0.4166666666666667</v>
      </c>
      <c r="L137" s="1" t="s">
        <v>747</v>
      </c>
    </row>
    <row r="138" spans="1:12" ht="12.75">
      <c r="A138" s="3" t="s">
        <v>208</v>
      </c>
      <c r="B138" s="1" t="s">
        <v>209</v>
      </c>
      <c r="C138" s="1" t="s">
        <v>118</v>
      </c>
      <c r="D138" s="1" t="s">
        <v>50</v>
      </c>
      <c r="E138" s="6" t="str">
        <f>HYPERLINK("https://www.bioscidb.com/browse/deal_bg/1376","Link")</f>
        <v>Link</v>
      </c>
      <c r="F138" s="1" t="s">
        <v>27</v>
      </c>
      <c r="G138" s="16" t="s">
        <v>30</v>
      </c>
      <c r="H138" s="4">
        <v>443</v>
      </c>
      <c r="I138" s="4">
        <v>323</v>
      </c>
      <c r="J138" s="4" t="s">
        <v>14</v>
      </c>
      <c r="K138" s="20">
        <f>I138/H138</f>
        <v>0.7291196388261851</v>
      </c>
      <c r="L138" s="1" t="s">
        <v>210</v>
      </c>
    </row>
    <row r="139" spans="1:12" ht="12.75">
      <c r="A139" s="3" t="s">
        <v>429</v>
      </c>
      <c r="B139" s="1" t="s">
        <v>430</v>
      </c>
      <c r="C139" s="1" t="s">
        <v>421</v>
      </c>
      <c r="D139" s="1" t="s">
        <v>50</v>
      </c>
      <c r="E139" s="6" t="str">
        <f>HYPERLINK("https://www.bioscidb.com/browse/deal_bg/5109","Link")</f>
        <v>Link</v>
      </c>
      <c r="F139" s="1" t="s">
        <v>69</v>
      </c>
      <c r="G139" s="16" t="s">
        <v>431</v>
      </c>
      <c r="H139" s="4">
        <v>160</v>
      </c>
      <c r="I139" s="4">
        <v>160</v>
      </c>
      <c r="J139" s="4" t="s">
        <v>14</v>
      </c>
      <c r="K139" s="20"/>
      <c r="L139" s="1" t="s">
        <v>432</v>
      </c>
    </row>
    <row r="140" spans="1:12" ht="12.75">
      <c r="A140" s="3" t="s">
        <v>224</v>
      </c>
      <c r="B140" s="1" t="s">
        <v>671</v>
      </c>
      <c r="C140" s="1" t="s">
        <v>588</v>
      </c>
      <c r="D140" s="1" t="s">
        <v>50</v>
      </c>
      <c r="E140" s="6" t="str">
        <f>HYPERLINK("https://www.bioscidb.com/browse/deal_bg/6834","Link")</f>
        <v>Link</v>
      </c>
      <c r="F140" s="1" t="s">
        <v>15</v>
      </c>
      <c r="G140" s="16" t="s">
        <v>672</v>
      </c>
      <c r="H140" s="4">
        <v>290</v>
      </c>
      <c r="I140" s="4" t="s">
        <v>14</v>
      </c>
      <c r="J140" s="4">
        <v>100</v>
      </c>
      <c r="K140" s="20">
        <f>J140/H140</f>
        <v>0.3448275862068966</v>
      </c>
      <c r="L140" s="1" t="s">
        <v>14</v>
      </c>
    </row>
    <row r="141" spans="1:12" ht="12.75">
      <c r="A141" s="3" t="s">
        <v>287</v>
      </c>
      <c r="B141" s="1" t="s">
        <v>288</v>
      </c>
      <c r="C141" s="1" t="s">
        <v>268</v>
      </c>
      <c r="D141" s="17" t="s">
        <v>50</v>
      </c>
      <c r="E141" s="6" t="str">
        <f>HYPERLINK("https://www.bioscidb.com/browse/deal_bg/1593","Link")</f>
        <v>Link</v>
      </c>
      <c r="F141" s="1" t="s">
        <v>45</v>
      </c>
      <c r="G141" s="16" t="s">
        <v>30</v>
      </c>
      <c r="H141" s="4">
        <v>381</v>
      </c>
      <c r="I141" s="4">
        <v>185</v>
      </c>
      <c r="J141" s="4" t="s">
        <v>14</v>
      </c>
      <c r="K141" s="20">
        <f>I141/H141</f>
        <v>0.48556430446194226</v>
      </c>
      <c r="L141" s="1" t="s">
        <v>289</v>
      </c>
    </row>
    <row r="142" spans="1:12" ht="25.5">
      <c r="A142" s="3" t="s">
        <v>319</v>
      </c>
      <c r="B142" s="1" t="s">
        <v>409</v>
      </c>
      <c r="C142" s="1" t="s">
        <v>410</v>
      </c>
      <c r="D142" s="17" t="s">
        <v>50</v>
      </c>
      <c r="E142" s="6" t="str">
        <f>HYPERLINK("https://www.bioscidb.com/browse/deal_bg/9023","Link")</f>
        <v>Link</v>
      </c>
      <c r="F142" s="1" t="s">
        <v>45</v>
      </c>
      <c r="G142" s="16" t="s">
        <v>411</v>
      </c>
      <c r="H142" s="4">
        <v>257.5</v>
      </c>
      <c r="I142" s="4">
        <v>62.5</v>
      </c>
      <c r="J142" s="4" t="s">
        <v>14</v>
      </c>
      <c r="K142" s="20">
        <f>I142/H142</f>
        <v>0.24271844660194175</v>
      </c>
      <c r="L142" s="1" t="s">
        <v>412</v>
      </c>
    </row>
    <row r="143" spans="1:12" ht="12.75">
      <c r="A143" s="3" t="s">
        <v>103</v>
      </c>
      <c r="B143" s="1" t="s">
        <v>104</v>
      </c>
      <c r="C143" s="1" t="s">
        <v>105</v>
      </c>
      <c r="D143" s="1" t="s">
        <v>50</v>
      </c>
      <c r="E143" s="6" t="str">
        <f>HYPERLINK("https://www.bioscidb.com/browse/deal_bg/1309","Link")</f>
        <v>Link</v>
      </c>
      <c r="F143" s="1" t="s">
        <v>69</v>
      </c>
      <c r="G143" s="16" t="s">
        <v>106</v>
      </c>
      <c r="H143" s="4">
        <v>935</v>
      </c>
      <c r="I143" s="4">
        <v>805</v>
      </c>
      <c r="J143" s="4" t="s">
        <v>14</v>
      </c>
      <c r="K143" s="20">
        <f>I143/H143</f>
        <v>0.8609625668449198</v>
      </c>
      <c r="L143" s="1" t="s">
        <v>14</v>
      </c>
    </row>
    <row r="144" spans="1:12" ht="12.75">
      <c r="A144" s="3" t="s">
        <v>103</v>
      </c>
      <c r="B144" s="1" t="s">
        <v>621</v>
      </c>
      <c r="C144" s="1" t="s">
        <v>622</v>
      </c>
      <c r="D144" s="17" t="s">
        <v>50</v>
      </c>
      <c r="E144" s="6" t="str">
        <f>HYPERLINK("https://www.bioscidb.com/browse/deal_bg/1153","Link")</f>
        <v>Link</v>
      </c>
      <c r="F144" s="1" t="s">
        <v>15</v>
      </c>
      <c r="G144" s="16" t="s">
        <v>206</v>
      </c>
      <c r="H144" s="4" t="s">
        <v>14</v>
      </c>
      <c r="I144" s="4" t="s">
        <v>14</v>
      </c>
      <c r="J144" s="4" t="s">
        <v>14</v>
      </c>
      <c r="K144" s="20"/>
      <c r="L144" s="1" t="s">
        <v>14</v>
      </c>
    </row>
    <row r="145" spans="1:12" ht="12.75">
      <c r="A145" s="3" t="s">
        <v>26</v>
      </c>
      <c r="B145" s="1" t="s">
        <v>256</v>
      </c>
      <c r="C145" s="1" t="s">
        <v>257</v>
      </c>
      <c r="D145" s="1" t="s">
        <v>50</v>
      </c>
      <c r="E145" s="6" t="str">
        <f>HYPERLINK("https://www.bioscidb.com/browse/deal_bg/2310","Link")</f>
        <v>Link</v>
      </c>
      <c r="F145" s="1" t="s">
        <v>45</v>
      </c>
      <c r="G145" s="16" t="s">
        <v>30</v>
      </c>
      <c r="H145" s="4">
        <v>1000</v>
      </c>
      <c r="I145" s="4">
        <v>425</v>
      </c>
      <c r="J145" s="4" t="s">
        <v>14</v>
      </c>
      <c r="K145" s="20">
        <f>I145/H145</f>
        <v>0.425</v>
      </c>
      <c r="L145" s="1" t="s">
        <v>258</v>
      </c>
    </row>
    <row r="146" spans="1:12" ht="12.75">
      <c r="A146" s="3" t="s">
        <v>57</v>
      </c>
      <c r="B146" s="1" t="s">
        <v>544</v>
      </c>
      <c r="C146" s="1" t="s">
        <v>545</v>
      </c>
      <c r="D146" s="1" t="s">
        <v>50</v>
      </c>
      <c r="E146" s="6" t="str">
        <f>HYPERLINK("https://www.bioscidb.com/browse/deal_bg/9151","Link")</f>
        <v>Link</v>
      </c>
      <c r="F146" s="1" t="s">
        <v>15</v>
      </c>
      <c r="G146" s="16" t="s">
        <v>546</v>
      </c>
      <c r="H146" s="4">
        <v>13.5</v>
      </c>
      <c r="I146" s="4">
        <v>2.5</v>
      </c>
      <c r="J146" s="4" t="s">
        <v>14</v>
      </c>
      <c r="K146" s="20">
        <f>I146/H146</f>
        <v>0.18518518518518517</v>
      </c>
      <c r="L146" s="1" t="s">
        <v>14</v>
      </c>
    </row>
    <row r="147" spans="1:12" ht="12.75">
      <c r="A147" s="3" t="s">
        <v>294</v>
      </c>
      <c r="B147" s="1" t="s">
        <v>493</v>
      </c>
      <c r="C147" s="1" t="s">
        <v>263</v>
      </c>
      <c r="D147" s="1" t="s">
        <v>50</v>
      </c>
      <c r="E147" s="6" t="str">
        <f>HYPERLINK("https://www.bioscidb.com/browse/deal_bg/6961","Link")</f>
        <v>Link</v>
      </c>
      <c r="F147" s="1" t="s">
        <v>15</v>
      </c>
      <c r="G147" s="16" t="s">
        <v>30</v>
      </c>
      <c r="H147" s="4">
        <v>593.6</v>
      </c>
      <c r="I147" s="4">
        <v>493.6</v>
      </c>
      <c r="J147" s="4" t="s">
        <v>14</v>
      </c>
      <c r="K147" s="20">
        <f>I147/H147</f>
        <v>0.8315363881401617</v>
      </c>
      <c r="L147" s="1" t="s">
        <v>14</v>
      </c>
    </row>
    <row r="148" spans="1:12" ht="12.75">
      <c r="A148" s="3" t="s">
        <v>51</v>
      </c>
      <c r="B148" s="1" t="s">
        <v>52</v>
      </c>
      <c r="C148" s="1" t="s">
        <v>53</v>
      </c>
      <c r="D148" s="1" t="s">
        <v>50</v>
      </c>
      <c r="E148" s="6" t="str">
        <f>HYPERLINK("https://www.bioscidb.com/browse/deal_bg/467","Link")</f>
        <v>Link</v>
      </c>
      <c r="F148" s="1" t="s">
        <v>27</v>
      </c>
      <c r="G148" s="16" t="s">
        <v>38</v>
      </c>
      <c r="H148" s="4">
        <v>32</v>
      </c>
      <c r="I148" s="4" t="s">
        <v>14</v>
      </c>
      <c r="J148" s="4" t="s">
        <v>14</v>
      </c>
      <c r="K148" s="20"/>
      <c r="L148" s="1" t="s">
        <v>14</v>
      </c>
    </row>
    <row r="149" spans="1:12" ht="12.75">
      <c r="A149" s="3" t="s">
        <v>904</v>
      </c>
      <c r="B149" s="1" t="s">
        <v>967</v>
      </c>
      <c r="C149" s="1" t="s">
        <v>394</v>
      </c>
      <c r="D149" s="1" t="s">
        <v>159</v>
      </c>
      <c r="E149" s="6" t="str">
        <f>HYPERLINK("https://www.bioscidb.com/browse/deal_bg/15098","Link")</f>
        <v>Link</v>
      </c>
      <c r="F149" s="1" t="s">
        <v>27</v>
      </c>
      <c r="G149" s="16" t="s">
        <v>968</v>
      </c>
      <c r="H149" s="4">
        <v>1950</v>
      </c>
      <c r="I149" s="4">
        <v>1755</v>
      </c>
      <c r="J149" s="4" t="s">
        <v>14</v>
      </c>
      <c r="K149" s="20">
        <f>I149/H149</f>
        <v>0.9</v>
      </c>
      <c r="L149" s="1" t="s">
        <v>969</v>
      </c>
    </row>
    <row r="150" spans="1:12" ht="12.75">
      <c r="A150" s="3" t="s">
        <v>627</v>
      </c>
      <c r="B150" s="1" t="s">
        <v>641</v>
      </c>
      <c r="C150" s="1" t="s">
        <v>642</v>
      </c>
      <c r="D150" s="1" t="s">
        <v>159</v>
      </c>
      <c r="E150" s="6" t="str">
        <f>HYPERLINK("https://www.bioscidb.com/browse/deal_bg/10734","Link")</f>
        <v>Link</v>
      </c>
      <c r="F150" s="1" t="s">
        <v>27</v>
      </c>
      <c r="G150" s="16" t="s">
        <v>643</v>
      </c>
      <c r="H150" s="4">
        <v>209</v>
      </c>
      <c r="I150" s="4">
        <v>55</v>
      </c>
      <c r="J150" s="4" t="s">
        <v>14</v>
      </c>
      <c r="K150" s="20">
        <f>I150/H150</f>
        <v>0.2631578947368421</v>
      </c>
      <c r="L150" s="1" t="s">
        <v>644</v>
      </c>
    </row>
    <row r="151" spans="1:12" ht="12.75">
      <c r="A151" s="3" t="s">
        <v>486</v>
      </c>
      <c r="B151" s="1" t="s">
        <v>487</v>
      </c>
      <c r="C151" s="1" t="s">
        <v>488</v>
      </c>
      <c r="D151" s="1" t="s">
        <v>159</v>
      </c>
      <c r="E151" s="6" t="str">
        <f>HYPERLINK("https://www.bioscidb.com/browse/deal_bg/4335","Link")</f>
        <v>Link</v>
      </c>
      <c r="F151" s="1" t="s">
        <v>45</v>
      </c>
      <c r="G151" s="16" t="s">
        <v>489</v>
      </c>
      <c r="H151" s="4">
        <v>78</v>
      </c>
      <c r="I151" s="4">
        <v>5</v>
      </c>
      <c r="J151" s="4" t="s">
        <v>14</v>
      </c>
      <c r="K151" s="20">
        <f>I151/H151</f>
        <v>0.0641025641025641</v>
      </c>
      <c r="L151" s="1" t="s">
        <v>490</v>
      </c>
    </row>
    <row r="152" spans="1:12" ht="12.75">
      <c r="A152" s="3" t="s">
        <v>416</v>
      </c>
      <c r="B152" s="1" t="s">
        <v>422</v>
      </c>
      <c r="C152" s="1" t="s">
        <v>247</v>
      </c>
      <c r="D152" s="17" t="s">
        <v>159</v>
      </c>
      <c r="E152" s="6" t="str">
        <f>HYPERLINK("https://www.bioscidb.com/browse/deal_bg/3977","Link")</f>
        <v>Link</v>
      </c>
      <c r="F152" s="1" t="s">
        <v>27</v>
      </c>
      <c r="G152" s="16" t="s">
        <v>30</v>
      </c>
      <c r="H152" s="4">
        <v>840</v>
      </c>
      <c r="I152" s="4">
        <v>680</v>
      </c>
      <c r="J152" s="4" t="s">
        <v>14</v>
      </c>
      <c r="K152" s="20">
        <f>I152/H152</f>
        <v>0.8095238095238095</v>
      </c>
      <c r="L152" s="1" t="s">
        <v>423</v>
      </c>
    </row>
    <row r="153" spans="1:12" ht="12.75">
      <c r="A153" s="3" t="s">
        <v>68</v>
      </c>
      <c r="B153" s="1" t="s">
        <v>85</v>
      </c>
      <c r="C153" s="1" t="s">
        <v>86</v>
      </c>
      <c r="D153" s="17" t="s">
        <v>159</v>
      </c>
      <c r="E153" s="6" t="str">
        <f>HYPERLINK("https://www.bioscidb.com/browse/deal_bg/1073","Link")</f>
        <v>Link</v>
      </c>
      <c r="F153" s="1" t="s">
        <v>69</v>
      </c>
      <c r="G153" s="16" t="s">
        <v>30</v>
      </c>
      <c r="H153" s="4">
        <v>250</v>
      </c>
      <c r="I153" s="4">
        <v>250</v>
      </c>
      <c r="J153" s="4" t="s">
        <v>14</v>
      </c>
      <c r="K153" s="20"/>
      <c r="L153" s="1" t="s">
        <v>87</v>
      </c>
    </row>
    <row r="154" spans="1:12" ht="12.75">
      <c r="A154" s="3" t="s">
        <v>224</v>
      </c>
      <c r="B154" s="1" t="s">
        <v>537</v>
      </c>
      <c r="C154" s="1" t="s">
        <v>297</v>
      </c>
      <c r="D154" s="1" t="s">
        <v>159</v>
      </c>
      <c r="E154" s="6" t="str">
        <f>HYPERLINK("https://www.bioscidb.com/browse/deal_bg/8906","Link")</f>
        <v>Link</v>
      </c>
      <c r="F154" s="1" t="s">
        <v>69</v>
      </c>
      <c r="G154" s="16" t="s">
        <v>30</v>
      </c>
      <c r="H154" s="4">
        <v>305</v>
      </c>
      <c r="I154" s="4">
        <v>150</v>
      </c>
      <c r="J154" s="4" t="s">
        <v>14</v>
      </c>
      <c r="K154" s="20">
        <f>I154/H154</f>
        <v>0.4918032786885246</v>
      </c>
      <c r="L154" s="1" t="s">
        <v>538</v>
      </c>
    </row>
    <row r="155" spans="1:12" ht="12.75">
      <c r="A155" s="3" t="s">
        <v>160</v>
      </c>
      <c r="B155" s="1" t="s">
        <v>161</v>
      </c>
      <c r="C155" s="1" t="s">
        <v>162</v>
      </c>
      <c r="D155" s="1" t="s">
        <v>159</v>
      </c>
      <c r="E155" s="6" t="str">
        <f>HYPERLINK("https://www.bioscidb.com/browse/deal_bg/3434","Link")</f>
        <v>Link</v>
      </c>
      <c r="F155" s="1" t="s">
        <v>69</v>
      </c>
      <c r="G155" s="16" t="s">
        <v>30</v>
      </c>
      <c r="H155" s="4">
        <v>380</v>
      </c>
      <c r="I155" s="4" t="s">
        <v>14</v>
      </c>
      <c r="J155" s="4" t="s">
        <v>14</v>
      </c>
      <c r="K155" s="20"/>
      <c r="L155" s="1" t="s">
        <v>14</v>
      </c>
    </row>
    <row r="156" spans="1:12" ht="12.75">
      <c r="A156" s="3" t="s">
        <v>34</v>
      </c>
      <c r="B156" s="1" t="s">
        <v>928</v>
      </c>
      <c r="C156" s="1" t="s">
        <v>247</v>
      </c>
      <c r="D156" s="1" t="s">
        <v>159</v>
      </c>
      <c r="E156" s="6" t="str">
        <f>HYPERLINK("https://www.bioscidb.com/browse/deal_bg/4661","Link")</f>
        <v>Link</v>
      </c>
      <c r="F156" s="1" t="s">
        <v>15</v>
      </c>
      <c r="G156" s="16" t="s">
        <v>30</v>
      </c>
      <c r="H156" s="4">
        <v>56.85</v>
      </c>
      <c r="I156" s="4">
        <v>15</v>
      </c>
      <c r="J156" s="4" t="s">
        <v>14</v>
      </c>
      <c r="K156" s="20">
        <f>I156/H156</f>
        <v>0.2638522427440633</v>
      </c>
      <c r="L156" s="1" t="s">
        <v>929</v>
      </c>
    </row>
    <row r="157" spans="1:12" ht="12.75">
      <c r="A157" s="3" t="s">
        <v>909</v>
      </c>
      <c r="B157" s="1" t="s">
        <v>910</v>
      </c>
      <c r="C157" s="1" t="s">
        <v>911</v>
      </c>
      <c r="D157" s="17" t="s">
        <v>159</v>
      </c>
      <c r="E157" s="6" t="str">
        <f>HYPERLINK("https://www.bioscidb.com/browse/deal_bg/1202","Link")</f>
        <v>Link</v>
      </c>
      <c r="F157" s="1" t="s">
        <v>15</v>
      </c>
      <c r="G157" s="16" t="s">
        <v>912</v>
      </c>
      <c r="H157" s="4">
        <v>71</v>
      </c>
      <c r="I157" s="4">
        <v>10</v>
      </c>
      <c r="J157" s="4" t="s">
        <v>14</v>
      </c>
      <c r="K157" s="20">
        <f>I157/H157</f>
        <v>0.14084507042253522</v>
      </c>
      <c r="L157" s="1" t="s">
        <v>913</v>
      </c>
    </row>
    <row r="158" spans="1:12" ht="25.5">
      <c r="A158" s="3" t="s">
        <v>330</v>
      </c>
      <c r="B158" s="1" t="s">
        <v>331</v>
      </c>
      <c r="C158" s="1" t="s">
        <v>332</v>
      </c>
      <c r="D158" s="17" t="s">
        <v>159</v>
      </c>
      <c r="E158" s="6" t="str">
        <f>HYPERLINK("https://www.bioscidb.com/browse/deal_bg/1553","Link")</f>
        <v>Link</v>
      </c>
      <c r="F158" s="1" t="s">
        <v>15</v>
      </c>
      <c r="G158" s="16" t="s">
        <v>333</v>
      </c>
      <c r="H158" s="4">
        <v>180</v>
      </c>
      <c r="I158" s="4">
        <v>10</v>
      </c>
      <c r="J158" s="4" t="s">
        <v>14</v>
      </c>
      <c r="K158" s="20">
        <f>I158/H158</f>
        <v>0.05555555555555555</v>
      </c>
      <c r="L158" s="1" t="s">
        <v>14</v>
      </c>
    </row>
    <row r="159" spans="1:12" ht="12.75">
      <c r="A159" s="3" t="s">
        <v>914</v>
      </c>
      <c r="B159" s="1" t="s">
        <v>915</v>
      </c>
      <c r="C159" s="1" t="s">
        <v>916</v>
      </c>
      <c r="D159" s="1" t="s">
        <v>56</v>
      </c>
      <c r="E159" s="6" t="str">
        <f>HYPERLINK("https://www.bioscidb.com/browse/deal_bg/15418","Link")</f>
        <v>Link</v>
      </c>
      <c r="F159" s="1" t="s">
        <v>27</v>
      </c>
      <c r="G159" s="16" t="s">
        <v>917</v>
      </c>
      <c r="H159" s="4">
        <v>165</v>
      </c>
      <c r="I159" s="4" t="s">
        <v>14</v>
      </c>
      <c r="J159" s="4">
        <v>55</v>
      </c>
      <c r="K159" s="20">
        <f>J159/H159</f>
        <v>0.3333333333333333</v>
      </c>
      <c r="L159" s="1" t="s">
        <v>918</v>
      </c>
    </row>
    <row r="160" spans="1:12" ht="12.75">
      <c r="A160" s="3" t="s">
        <v>891</v>
      </c>
      <c r="B160" s="1" t="s">
        <v>656</v>
      </c>
      <c r="C160" s="1" t="s">
        <v>895</v>
      </c>
      <c r="D160" s="1" t="s">
        <v>56</v>
      </c>
      <c r="E160" s="6" t="str">
        <f>HYPERLINK("https://www.bioscidb.com/browse/deal_bg/15516","Link")</f>
        <v>Link</v>
      </c>
      <c r="F160" s="1" t="s">
        <v>45</v>
      </c>
      <c r="G160" s="16" t="s">
        <v>896</v>
      </c>
      <c r="H160" s="4">
        <v>55</v>
      </c>
      <c r="I160" s="4">
        <v>35</v>
      </c>
      <c r="J160" s="4" t="s">
        <v>14</v>
      </c>
      <c r="K160" s="20">
        <f>I160/H160</f>
        <v>0.6363636363636364</v>
      </c>
      <c r="L160" s="1" t="s">
        <v>14</v>
      </c>
    </row>
    <row r="161" spans="1:12" ht="12.75">
      <c r="A161" s="3" t="s">
        <v>891</v>
      </c>
      <c r="B161" s="1" t="s">
        <v>900</v>
      </c>
      <c r="C161" s="1" t="s">
        <v>901</v>
      </c>
      <c r="D161" s="1" t="s">
        <v>56</v>
      </c>
      <c r="E161" s="6" t="str">
        <f>HYPERLINK("https://www.bioscidb.com/browse/deal_bg/15519","Link")</f>
        <v>Link</v>
      </c>
      <c r="F161" s="1" t="s">
        <v>27</v>
      </c>
      <c r="G161" s="16" t="s">
        <v>902</v>
      </c>
      <c r="H161" s="4">
        <v>32</v>
      </c>
      <c r="I161" s="4">
        <v>4.5</v>
      </c>
      <c r="J161" s="4">
        <v>12.5</v>
      </c>
      <c r="K161" s="20">
        <f>(I161+J161)/H161</f>
        <v>0.53125</v>
      </c>
      <c r="L161" s="1" t="s">
        <v>903</v>
      </c>
    </row>
    <row r="162" spans="1:12" ht="12.75">
      <c r="A162" s="3" t="s">
        <v>891</v>
      </c>
      <c r="B162" s="1" t="s">
        <v>226</v>
      </c>
      <c r="C162" s="1" t="s">
        <v>970</v>
      </c>
      <c r="D162" s="1" t="s">
        <v>56</v>
      </c>
      <c r="E162" s="6" t="str">
        <f>HYPERLINK("https://www.bioscidb.com/browse/deal_bg/15179","Link")</f>
        <v>Link</v>
      </c>
      <c r="F162" s="1" t="s">
        <v>27</v>
      </c>
      <c r="G162" s="16" t="s">
        <v>971</v>
      </c>
      <c r="H162" s="4" t="s">
        <v>14</v>
      </c>
      <c r="I162" s="4" t="s">
        <v>14</v>
      </c>
      <c r="J162" s="4" t="s">
        <v>14</v>
      </c>
      <c r="K162" s="20"/>
      <c r="L162" s="1" t="s">
        <v>972</v>
      </c>
    </row>
    <row r="163" spans="1:12" ht="12.75">
      <c r="A163" s="3" t="s">
        <v>904</v>
      </c>
      <c r="B163" s="1" t="s">
        <v>905</v>
      </c>
      <c r="C163" s="1" t="s">
        <v>906</v>
      </c>
      <c r="D163" s="1" t="s">
        <v>56</v>
      </c>
      <c r="E163" s="6" t="str">
        <f>HYPERLINK("https://www.bioscidb.com/browse/deal_bg/15157","Link")</f>
        <v>Link</v>
      </c>
      <c r="F163" s="1" t="s">
        <v>27</v>
      </c>
      <c r="G163" s="16" t="s">
        <v>907</v>
      </c>
      <c r="H163" s="4">
        <v>915</v>
      </c>
      <c r="I163" s="4">
        <v>870</v>
      </c>
      <c r="J163" s="4" t="s">
        <v>14</v>
      </c>
      <c r="K163" s="20">
        <f>I163/H163</f>
        <v>0.9508196721311475</v>
      </c>
      <c r="L163" s="1" t="s">
        <v>908</v>
      </c>
    </row>
    <row r="164" spans="1:12" ht="12.75">
      <c r="A164" s="3" t="s">
        <v>762</v>
      </c>
      <c r="B164" s="1" t="s">
        <v>71</v>
      </c>
      <c r="C164" s="1" t="s">
        <v>361</v>
      </c>
      <c r="D164" s="1" t="s">
        <v>56</v>
      </c>
      <c r="E164" s="6" t="str">
        <f>HYPERLINK("https://www.bioscidb.com/browse/deal_bg/14011","Link")</f>
        <v>Link</v>
      </c>
      <c r="F164" s="1" t="s">
        <v>27</v>
      </c>
      <c r="G164" s="16" t="s">
        <v>767</v>
      </c>
      <c r="H164" s="4">
        <v>96300</v>
      </c>
      <c r="I164" s="4">
        <v>74000</v>
      </c>
      <c r="J164" s="4">
        <v>16000</v>
      </c>
      <c r="K164" s="20">
        <f>(I164+J164)/H164</f>
        <v>0.9345794392523364</v>
      </c>
      <c r="L164" s="1" t="s">
        <v>768</v>
      </c>
    </row>
    <row r="165" spans="1:12" ht="25.5">
      <c r="A165" s="3" t="s">
        <v>762</v>
      </c>
      <c r="B165" s="1" t="s">
        <v>170</v>
      </c>
      <c r="C165" s="1" t="s">
        <v>776</v>
      </c>
      <c r="D165" s="1" t="s">
        <v>56</v>
      </c>
      <c r="E165" s="6" t="str">
        <f>HYPERLINK("https://www.bioscidb.com/browse/deal_bg/14120","Link")</f>
        <v>Link</v>
      </c>
      <c r="F165" s="1" t="s">
        <v>27</v>
      </c>
      <c r="G165" s="16" t="s">
        <v>777</v>
      </c>
      <c r="H165" s="4">
        <v>300</v>
      </c>
      <c r="I165" s="4">
        <v>160</v>
      </c>
      <c r="J165" s="4" t="s">
        <v>14</v>
      </c>
      <c r="K165" s="20">
        <f>I165/H165</f>
        <v>0.5333333333333333</v>
      </c>
      <c r="L165" s="1" t="s">
        <v>14</v>
      </c>
    </row>
    <row r="166" spans="1:12" ht="12.75">
      <c r="A166" s="3" t="s">
        <v>737</v>
      </c>
      <c r="B166" s="1" t="s">
        <v>738</v>
      </c>
      <c r="C166" s="1" t="s">
        <v>642</v>
      </c>
      <c r="D166" s="17" t="s">
        <v>56</v>
      </c>
      <c r="E166" s="6" t="str">
        <f>HYPERLINK("https://www.bioscidb.com/browse/deal_bg/13872","Link")</f>
        <v>Link</v>
      </c>
      <c r="F166" s="1" t="s">
        <v>27</v>
      </c>
      <c r="G166" s="16" t="s">
        <v>739</v>
      </c>
      <c r="H166" s="4">
        <v>504</v>
      </c>
      <c r="I166" s="4">
        <v>485</v>
      </c>
      <c r="J166" s="4" t="s">
        <v>14</v>
      </c>
      <c r="K166" s="20">
        <f>I166/H166</f>
        <v>0.9623015873015873</v>
      </c>
      <c r="L166" s="1" t="s">
        <v>740</v>
      </c>
    </row>
    <row r="167" spans="1:12" ht="12.75">
      <c r="A167" s="3" t="s">
        <v>727</v>
      </c>
      <c r="B167" s="1" t="s">
        <v>741</v>
      </c>
      <c r="C167" s="1" t="s">
        <v>275</v>
      </c>
      <c r="D167" s="17" t="s">
        <v>56</v>
      </c>
      <c r="E167" s="6" t="str">
        <f>HYPERLINK("https://www.bioscidb.com/browse/deal_bg/13496","Link")</f>
        <v>Link</v>
      </c>
      <c r="F167" s="1" t="s">
        <v>45</v>
      </c>
      <c r="G167" s="16" t="s">
        <v>742</v>
      </c>
      <c r="H167" s="4">
        <v>723</v>
      </c>
      <c r="I167" s="4">
        <v>575</v>
      </c>
      <c r="J167" s="4">
        <v>48</v>
      </c>
      <c r="K167" s="20">
        <f>(I167+J167)/H167</f>
        <v>0.8616874135546335</v>
      </c>
      <c r="L167" s="1" t="s">
        <v>743</v>
      </c>
    </row>
    <row r="168" spans="1:12" ht="25.5">
      <c r="A168" s="3" t="s">
        <v>688</v>
      </c>
      <c r="B168" s="1" t="s">
        <v>689</v>
      </c>
      <c r="C168" s="1" t="s">
        <v>690</v>
      </c>
      <c r="D168" s="1" t="s">
        <v>56</v>
      </c>
      <c r="E168" s="6" t="str">
        <f>HYPERLINK("https://www.bioscidb.com/browse/deal_bg/12885","Link")</f>
        <v>Link</v>
      </c>
      <c r="F168" s="1" t="s">
        <v>27</v>
      </c>
      <c r="G168" s="16" t="s">
        <v>691</v>
      </c>
      <c r="H168" s="4">
        <v>125</v>
      </c>
      <c r="I168" s="4">
        <v>15</v>
      </c>
      <c r="J168" s="4" t="s">
        <v>14</v>
      </c>
      <c r="K168" s="20">
        <f>I168/H168</f>
        <v>0.12</v>
      </c>
      <c r="L168" s="1" t="s">
        <v>14</v>
      </c>
    </row>
    <row r="169" spans="1:12" ht="12.75">
      <c r="A169" s="3" t="s">
        <v>934</v>
      </c>
      <c r="B169" s="1" t="s">
        <v>935</v>
      </c>
      <c r="C169" s="1" t="s">
        <v>936</v>
      </c>
      <c r="D169" s="17" t="s">
        <v>56</v>
      </c>
      <c r="E169" s="6" t="str">
        <f>HYPERLINK("https://www.bioscidb.com/browse/deal_bg/9408","Link")</f>
        <v>Link</v>
      </c>
      <c r="F169" s="1" t="s">
        <v>15</v>
      </c>
      <c r="G169" s="16" t="s">
        <v>100</v>
      </c>
      <c r="H169" s="4">
        <v>77.8</v>
      </c>
      <c r="I169" s="4">
        <v>13.8</v>
      </c>
      <c r="J169" s="4">
        <v>7.5</v>
      </c>
      <c r="K169" s="20">
        <f>(I169+J169)/H169</f>
        <v>0.27377892030848333</v>
      </c>
      <c r="L169" s="1" t="s">
        <v>937</v>
      </c>
    </row>
    <row r="170" spans="1:12" ht="25.5">
      <c r="A170" s="3" t="s">
        <v>528</v>
      </c>
      <c r="B170" s="1" t="s">
        <v>120</v>
      </c>
      <c r="C170" s="1" t="s">
        <v>549</v>
      </c>
      <c r="D170" s="1" t="s">
        <v>56</v>
      </c>
      <c r="E170" s="6" t="str">
        <f>HYPERLINK("https://www.bioscidb.com/browse/deal_bg/8926","Link")</f>
        <v>Link</v>
      </c>
      <c r="F170" s="1" t="s">
        <v>45</v>
      </c>
      <c r="G170" s="16" t="s">
        <v>550</v>
      </c>
      <c r="H170" s="4">
        <v>294</v>
      </c>
      <c r="I170" s="4">
        <v>199</v>
      </c>
      <c r="J170" s="4" t="s">
        <v>14</v>
      </c>
      <c r="K170" s="20">
        <f>I170/H170</f>
        <v>0.6768707482993197</v>
      </c>
      <c r="L170" s="1" t="s">
        <v>551</v>
      </c>
    </row>
    <row r="171" spans="1:12" ht="12.75">
      <c r="A171" s="3" t="s">
        <v>532</v>
      </c>
      <c r="B171" s="1" t="s">
        <v>533</v>
      </c>
      <c r="C171" s="1" t="s">
        <v>534</v>
      </c>
      <c r="D171" s="1" t="s">
        <v>56</v>
      </c>
      <c r="E171" s="6" t="str">
        <f>HYPERLINK("https://www.bioscidb.com/browse/deal_bg/8297","Link")</f>
        <v>Link</v>
      </c>
      <c r="F171" s="1" t="s">
        <v>27</v>
      </c>
      <c r="G171" s="16" t="s">
        <v>535</v>
      </c>
      <c r="H171" s="4">
        <v>55</v>
      </c>
      <c r="I171" s="4">
        <v>20</v>
      </c>
      <c r="J171" s="4" t="s">
        <v>14</v>
      </c>
      <c r="K171" s="20">
        <f>I171/H171</f>
        <v>0.36363636363636365</v>
      </c>
      <c r="L171" s="1" t="s">
        <v>536</v>
      </c>
    </row>
    <row r="172" spans="1:12" ht="12.75">
      <c r="A172" s="3" t="s">
        <v>494</v>
      </c>
      <c r="B172" s="1" t="s">
        <v>831</v>
      </c>
      <c r="C172" s="1" t="s">
        <v>952</v>
      </c>
      <c r="D172" s="17" t="s">
        <v>56</v>
      </c>
      <c r="E172" s="6" t="str">
        <f>HYPERLINK("https://www.bioscidb.com/browse/deal_bg/8871","Link")</f>
        <v>Link</v>
      </c>
      <c r="F172" s="1" t="s">
        <v>15</v>
      </c>
      <c r="G172" s="16" t="s">
        <v>953</v>
      </c>
      <c r="H172" s="4">
        <v>12</v>
      </c>
      <c r="I172" s="4">
        <v>8</v>
      </c>
      <c r="J172" s="4" t="s">
        <v>14</v>
      </c>
      <c r="K172" s="20">
        <f>I172/H172</f>
        <v>0.6666666666666666</v>
      </c>
      <c r="L172" s="1" t="s">
        <v>14</v>
      </c>
    </row>
    <row r="173" spans="1:12" ht="25.5">
      <c r="A173" s="3" t="s">
        <v>499</v>
      </c>
      <c r="B173" s="1" t="s">
        <v>262</v>
      </c>
      <c r="C173" s="1" t="s">
        <v>173</v>
      </c>
      <c r="D173" s="1" t="s">
        <v>56</v>
      </c>
      <c r="E173" s="6" t="str">
        <f>HYPERLINK("https://www.bioscidb.com/browse/deal_bg/6806","Link")</f>
        <v>Link</v>
      </c>
      <c r="F173" s="1" t="s">
        <v>45</v>
      </c>
      <c r="G173" s="16" t="s">
        <v>500</v>
      </c>
      <c r="H173" s="4">
        <v>75</v>
      </c>
      <c r="I173" s="4" t="s">
        <v>14</v>
      </c>
      <c r="J173" s="4" t="s">
        <v>14</v>
      </c>
      <c r="K173" s="20"/>
      <c r="L173" s="1" t="s">
        <v>14</v>
      </c>
    </row>
    <row r="174" spans="1:12" ht="12.75">
      <c r="A174" s="3" t="s">
        <v>473</v>
      </c>
      <c r="B174" s="1" t="s">
        <v>477</v>
      </c>
      <c r="C174" s="1" t="s">
        <v>478</v>
      </c>
      <c r="D174" s="1" t="s">
        <v>56</v>
      </c>
      <c r="E174" s="6" t="str">
        <f>HYPERLINK("https://www.bioscidb.com/browse/deal_bg/6346","Link")</f>
        <v>Link</v>
      </c>
      <c r="F174" s="1" t="s">
        <v>69</v>
      </c>
      <c r="G174" s="16" t="s">
        <v>30</v>
      </c>
      <c r="H174" s="4">
        <v>1000</v>
      </c>
      <c r="I174" s="4">
        <v>500</v>
      </c>
      <c r="J174" s="4" t="s">
        <v>14</v>
      </c>
      <c r="K174" s="20">
        <f>I174/H174</f>
        <v>0.5</v>
      </c>
      <c r="L174" s="1" t="s">
        <v>479</v>
      </c>
    </row>
    <row r="175" spans="1:12" ht="25.5">
      <c r="A175" s="3" t="s">
        <v>464</v>
      </c>
      <c r="B175" s="1" t="s">
        <v>118</v>
      </c>
      <c r="C175" s="1" t="s">
        <v>468</v>
      </c>
      <c r="D175" s="17" t="s">
        <v>56</v>
      </c>
      <c r="E175" s="6" t="str">
        <f>HYPERLINK("https://www.bioscidb.com/browse/deal_bg/6106","Link")</f>
        <v>Link</v>
      </c>
      <c r="F175" s="1" t="s">
        <v>69</v>
      </c>
      <c r="G175" s="16" t="s">
        <v>469</v>
      </c>
      <c r="H175" s="4">
        <v>300</v>
      </c>
      <c r="I175" s="4">
        <v>165</v>
      </c>
      <c r="J175" s="4" t="s">
        <v>14</v>
      </c>
      <c r="K175" s="20">
        <f>I175/H175</f>
        <v>0.55</v>
      </c>
      <c r="L175" s="1" t="s">
        <v>470</v>
      </c>
    </row>
    <row r="176" spans="1:12" ht="12.75">
      <c r="A176" s="3" t="s">
        <v>461</v>
      </c>
      <c r="B176" s="1" t="s">
        <v>480</v>
      </c>
      <c r="C176" s="1" t="s">
        <v>481</v>
      </c>
      <c r="D176" s="1" t="s">
        <v>56</v>
      </c>
      <c r="E176" s="6" t="str">
        <f>HYPERLINK("https://www.bioscidb.com/browse/deal_bg/5518","Link")</f>
        <v>Link</v>
      </c>
      <c r="F176" s="1" t="s">
        <v>27</v>
      </c>
      <c r="G176" s="16" t="s">
        <v>482</v>
      </c>
      <c r="H176" s="4">
        <v>29.7</v>
      </c>
      <c r="I176" s="4" t="s">
        <v>14</v>
      </c>
      <c r="J176" s="4" t="s">
        <v>14</v>
      </c>
      <c r="K176" s="20"/>
      <c r="L176" s="1" t="s">
        <v>14</v>
      </c>
    </row>
    <row r="177" spans="1:12" ht="25.5">
      <c r="A177" s="3" t="s">
        <v>456</v>
      </c>
      <c r="B177" s="1" t="s">
        <v>954</v>
      </c>
      <c r="C177" s="1" t="s">
        <v>955</v>
      </c>
      <c r="D177" s="17" t="s">
        <v>56</v>
      </c>
      <c r="E177" s="6" t="str">
        <f>HYPERLINK("https://www.bioscidb.com/browse/deal_bg/4796","Link")</f>
        <v>Link</v>
      </c>
      <c r="F177" s="1" t="s">
        <v>15</v>
      </c>
      <c r="G177" s="16" t="s">
        <v>956</v>
      </c>
      <c r="H177" s="4">
        <v>170</v>
      </c>
      <c r="I177" s="4">
        <v>50</v>
      </c>
      <c r="J177" s="4" t="s">
        <v>14</v>
      </c>
      <c r="K177" s="20">
        <f>I177/H177</f>
        <v>0.29411764705882354</v>
      </c>
      <c r="L177" s="1" t="s">
        <v>957</v>
      </c>
    </row>
    <row r="178" spans="1:12" ht="25.5">
      <c r="A178" s="3" t="s">
        <v>456</v>
      </c>
      <c r="B178" s="1" t="s">
        <v>193</v>
      </c>
      <c r="C178" s="1" t="s">
        <v>165</v>
      </c>
      <c r="D178" s="1" t="s">
        <v>56</v>
      </c>
      <c r="E178" s="6" t="str">
        <f>HYPERLINK("https://www.bioscidb.com/browse/deal_bg/4732","Link")</f>
        <v>Link</v>
      </c>
      <c r="F178" s="1" t="s">
        <v>27</v>
      </c>
      <c r="G178" s="16" t="s">
        <v>460</v>
      </c>
      <c r="H178" s="4">
        <v>1650</v>
      </c>
      <c r="I178" s="4">
        <v>1600</v>
      </c>
      <c r="J178" s="4" t="s">
        <v>14</v>
      </c>
      <c r="K178" s="20">
        <f>I178/H178</f>
        <v>0.9696969696969697</v>
      </c>
      <c r="L178" s="1" t="s">
        <v>14</v>
      </c>
    </row>
    <row r="179" spans="1:12" ht="12.75">
      <c r="A179" s="3" t="s">
        <v>456</v>
      </c>
      <c r="B179" s="1" t="s">
        <v>192</v>
      </c>
      <c r="C179" s="1" t="s">
        <v>457</v>
      </c>
      <c r="D179" s="1" t="s">
        <v>56</v>
      </c>
      <c r="E179" s="6" t="str">
        <f>HYPERLINK("https://www.bioscidb.com/browse/deal_bg/4820","Link")</f>
        <v>Link</v>
      </c>
      <c r="F179" s="1" t="s">
        <v>45</v>
      </c>
      <c r="G179" s="16" t="s">
        <v>458</v>
      </c>
      <c r="H179" s="4">
        <v>383.5</v>
      </c>
      <c r="I179" s="4">
        <v>80</v>
      </c>
      <c r="J179" s="4">
        <v>20</v>
      </c>
      <c r="K179" s="20">
        <f>(I179+J179)/H179</f>
        <v>0.2607561929595828</v>
      </c>
      <c r="L179" s="1" t="s">
        <v>459</v>
      </c>
    </row>
    <row r="180" spans="1:12" ht="12.75">
      <c r="A180" s="3" t="s">
        <v>401</v>
      </c>
      <c r="B180" s="1" t="s">
        <v>402</v>
      </c>
      <c r="C180" s="1" t="s">
        <v>403</v>
      </c>
      <c r="D180" s="1" t="s">
        <v>56</v>
      </c>
      <c r="E180" s="6" t="str">
        <f>HYPERLINK("https://www.bioscidb.com/browse/deal_bg/3795","Link")</f>
        <v>Link</v>
      </c>
      <c r="F180" s="1" t="s">
        <v>27</v>
      </c>
      <c r="G180" s="16" t="s">
        <v>82</v>
      </c>
      <c r="H180" s="4">
        <v>821.8</v>
      </c>
      <c r="I180" s="4">
        <v>675</v>
      </c>
      <c r="J180" s="4" t="s">
        <v>14</v>
      </c>
      <c r="K180" s="20">
        <f>I180/H180</f>
        <v>0.8213677293745437</v>
      </c>
      <c r="L180" s="1" t="s">
        <v>404</v>
      </c>
    </row>
    <row r="181" spans="1:12" ht="12.75">
      <c r="A181" s="3" t="s">
        <v>373</v>
      </c>
      <c r="B181" s="1" t="s">
        <v>332</v>
      </c>
      <c r="C181" s="1" t="s">
        <v>376</v>
      </c>
      <c r="D181" s="1" t="s">
        <v>56</v>
      </c>
      <c r="E181" s="6" t="str">
        <f>HYPERLINK("https://www.bioscidb.com/browse/deal_bg/3747","Link")</f>
        <v>Link</v>
      </c>
      <c r="F181" s="1" t="s">
        <v>27</v>
      </c>
      <c r="G181" s="16" t="s">
        <v>100</v>
      </c>
      <c r="H181" s="4">
        <v>1025</v>
      </c>
      <c r="I181" s="4">
        <v>600</v>
      </c>
      <c r="J181" s="4">
        <v>75</v>
      </c>
      <c r="K181" s="20">
        <f>(I181+J181)/H181</f>
        <v>0.6585365853658537</v>
      </c>
      <c r="L181" s="1" t="s">
        <v>377</v>
      </c>
    </row>
    <row r="182" spans="1:12" ht="12.75">
      <c r="A182" s="3" t="s">
        <v>152</v>
      </c>
      <c r="B182" s="1" t="s">
        <v>141</v>
      </c>
      <c r="C182" s="1" t="s">
        <v>118</v>
      </c>
      <c r="D182" s="1" t="s">
        <v>56</v>
      </c>
      <c r="E182" s="6" t="str">
        <f>HYPERLINK("https://www.bioscidb.com/browse/deal_bg/3375","Link")</f>
        <v>Link</v>
      </c>
      <c r="F182" s="1" t="s">
        <v>69</v>
      </c>
      <c r="G182" s="16" t="s">
        <v>157</v>
      </c>
      <c r="H182" s="4">
        <v>2095</v>
      </c>
      <c r="I182" s="4">
        <v>875</v>
      </c>
      <c r="J182" s="4" t="s">
        <v>14</v>
      </c>
      <c r="K182" s="20">
        <f>I182/H182</f>
        <v>0.41766109785202865</v>
      </c>
      <c r="L182" s="1" t="s">
        <v>158</v>
      </c>
    </row>
    <row r="183" spans="1:12" ht="12.75">
      <c r="A183" s="3" t="s">
        <v>392</v>
      </c>
      <c r="B183" s="1" t="s">
        <v>393</v>
      </c>
      <c r="C183" s="1" t="s">
        <v>394</v>
      </c>
      <c r="D183" s="1" t="s">
        <v>56</v>
      </c>
      <c r="E183" s="6" t="str">
        <f>HYPERLINK("https://www.bioscidb.com/browse/deal_bg/2628","Link")</f>
        <v>Link</v>
      </c>
      <c r="F183" s="1" t="s">
        <v>27</v>
      </c>
      <c r="G183" s="16" t="s">
        <v>395</v>
      </c>
      <c r="H183" s="4">
        <v>658</v>
      </c>
      <c r="I183" s="4">
        <v>530</v>
      </c>
      <c r="J183" s="4" t="s">
        <v>14</v>
      </c>
      <c r="K183" s="20">
        <f>I183/H183</f>
        <v>0.8054711246200608</v>
      </c>
      <c r="L183" s="1" t="s">
        <v>396</v>
      </c>
    </row>
    <row r="184" spans="1:12" ht="25.5">
      <c r="A184" s="3" t="s">
        <v>190</v>
      </c>
      <c r="B184" s="1" t="s">
        <v>120</v>
      </c>
      <c r="C184" s="1" t="s">
        <v>555</v>
      </c>
      <c r="D184" s="1" t="s">
        <v>56</v>
      </c>
      <c r="E184" s="6" t="str">
        <f>HYPERLINK("https://www.bioscidb.com/browse/deal_bg/2511","Link")</f>
        <v>Link</v>
      </c>
      <c r="F184" s="1" t="s">
        <v>45</v>
      </c>
      <c r="G184" s="16" t="s">
        <v>638</v>
      </c>
      <c r="H184" s="4">
        <v>7050</v>
      </c>
      <c r="I184" s="4">
        <v>5250</v>
      </c>
      <c r="J184" s="4" t="s">
        <v>14</v>
      </c>
      <c r="K184" s="20">
        <f>I184/H184</f>
        <v>0.7446808510638298</v>
      </c>
      <c r="L184" s="1" t="s">
        <v>639</v>
      </c>
    </row>
    <row r="185" spans="1:12" ht="25.5">
      <c r="A185" s="3" t="s">
        <v>137</v>
      </c>
      <c r="B185" s="1" t="s">
        <v>700</v>
      </c>
      <c r="C185" s="1" t="s">
        <v>782</v>
      </c>
      <c r="D185" s="1" t="s">
        <v>56</v>
      </c>
      <c r="E185" s="6" t="str">
        <f>HYPERLINK("https://www.bioscidb.com/browse/deal_bg/1963","Link")</f>
        <v>Link</v>
      </c>
      <c r="F185" s="1" t="s">
        <v>15</v>
      </c>
      <c r="G185" s="16" t="s">
        <v>783</v>
      </c>
      <c r="H185" s="4">
        <v>250</v>
      </c>
      <c r="I185" s="4">
        <v>1</v>
      </c>
      <c r="J185" s="4" t="s">
        <v>14</v>
      </c>
      <c r="K185" s="20">
        <f>I185/H185</f>
        <v>0.004</v>
      </c>
      <c r="L185" s="1" t="s">
        <v>14</v>
      </c>
    </row>
    <row r="186" spans="1:12" ht="12.75">
      <c r="A186" s="3" t="s">
        <v>136</v>
      </c>
      <c r="B186" s="1" t="s">
        <v>140</v>
      </c>
      <c r="C186" s="1" t="s">
        <v>141</v>
      </c>
      <c r="D186" s="1" t="s">
        <v>56</v>
      </c>
      <c r="E186" s="6" t="str">
        <f>HYPERLINK("https://www.bioscidb.com/browse/deal_bg/1862","Link")</f>
        <v>Link</v>
      </c>
      <c r="F186" s="1" t="s">
        <v>69</v>
      </c>
      <c r="G186" s="16" t="s">
        <v>30</v>
      </c>
      <c r="H186" s="4">
        <v>380</v>
      </c>
      <c r="I186" s="4">
        <v>305</v>
      </c>
      <c r="J186" s="4" t="s">
        <v>14</v>
      </c>
      <c r="K186" s="20">
        <f>I186/H186</f>
        <v>0.8026315789473685</v>
      </c>
      <c r="L186" s="1" t="s">
        <v>142</v>
      </c>
    </row>
    <row r="187" spans="1:12" ht="25.5">
      <c r="A187" s="3" t="s">
        <v>136</v>
      </c>
      <c r="B187" s="1" t="s">
        <v>260</v>
      </c>
      <c r="C187" s="1" t="s">
        <v>173</v>
      </c>
      <c r="D187" s="1" t="s">
        <v>56</v>
      </c>
      <c r="E187" s="6" t="str">
        <f>HYPERLINK("https://www.bioscidb.com/browse/deal_bg/1917","Link")</f>
        <v>Link</v>
      </c>
      <c r="F187" s="1" t="s">
        <v>45</v>
      </c>
      <c r="G187" s="16" t="s">
        <v>261</v>
      </c>
      <c r="H187" s="4">
        <v>12.5</v>
      </c>
      <c r="I187" s="4">
        <v>12.5</v>
      </c>
      <c r="J187" s="4" t="s">
        <v>14</v>
      </c>
      <c r="K187" s="20"/>
      <c r="L187" s="1" t="s">
        <v>14</v>
      </c>
    </row>
    <row r="188" spans="1:12" ht="25.5">
      <c r="A188" s="3" t="s">
        <v>127</v>
      </c>
      <c r="B188" s="1" t="s">
        <v>262</v>
      </c>
      <c r="C188" s="1" t="s">
        <v>263</v>
      </c>
      <c r="D188" s="1" t="s">
        <v>56</v>
      </c>
      <c r="E188" s="6" t="str">
        <f>HYPERLINK("https://www.bioscidb.com/browse/deal_bg/1766","Link")</f>
        <v>Link</v>
      </c>
      <c r="F188" s="1" t="s">
        <v>45</v>
      </c>
      <c r="G188" s="16" t="s">
        <v>264</v>
      </c>
      <c r="H188" s="4">
        <v>231</v>
      </c>
      <c r="I188" s="4">
        <v>155</v>
      </c>
      <c r="J188" s="4" t="s">
        <v>14</v>
      </c>
      <c r="K188" s="20">
        <f>I188/H188</f>
        <v>0.670995670995671</v>
      </c>
      <c r="L188" s="1" t="s">
        <v>265</v>
      </c>
    </row>
    <row r="189" spans="1:12" ht="25.5">
      <c r="A189" s="3" t="s">
        <v>554</v>
      </c>
      <c r="B189" s="1" t="s">
        <v>555</v>
      </c>
      <c r="C189" s="1" t="s">
        <v>556</v>
      </c>
      <c r="D189" s="17" t="s">
        <v>56</v>
      </c>
      <c r="E189" s="6" t="str">
        <f>HYPERLINK("https://www.bioscidb.com/browse/deal_bg/9587","Link")</f>
        <v>Link</v>
      </c>
      <c r="F189" s="1" t="s">
        <v>69</v>
      </c>
      <c r="G189" s="16" t="s">
        <v>557</v>
      </c>
      <c r="H189" s="4">
        <v>1170</v>
      </c>
      <c r="I189" s="4">
        <v>1037</v>
      </c>
      <c r="J189" s="4" t="s">
        <v>14</v>
      </c>
      <c r="K189" s="20">
        <f>I189/H189</f>
        <v>0.8863247863247863</v>
      </c>
      <c r="L189" s="1" t="s">
        <v>558</v>
      </c>
    </row>
    <row r="190" spans="1:12" ht="12.75">
      <c r="A190" s="3" t="s">
        <v>91</v>
      </c>
      <c r="B190" s="1" t="s">
        <v>101</v>
      </c>
      <c r="C190" s="1" t="s">
        <v>102</v>
      </c>
      <c r="D190" s="17" t="s">
        <v>56</v>
      </c>
      <c r="E190" s="6" t="str">
        <f>HYPERLINK("https://www.bioscidb.com/browse/deal_bg/1241","Link")</f>
        <v>Link</v>
      </c>
      <c r="F190" s="1" t="s">
        <v>69</v>
      </c>
      <c r="G190" s="16" t="s">
        <v>30</v>
      </c>
      <c r="H190" s="4">
        <v>200</v>
      </c>
      <c r="I190" s="4">
        <v>135</v>
      </c>
      <c r="J190" s="4" t="s">
        <v>14</v>
      </c>
      <c r="K190" s="20">
        <f>I190/H190</f>
        <v>0.675</v>
      </c>
      <c r="L190" s="1" t="s">
        <v>14</v>
      </c>
    </row>
    <row r="191" spans="1:12" ht="12.75">
      <c r="A191" s="3" t="s">
        <v>68</v>
      </c>
      <c r="B191" s="1" t="s">
        <v>334</v>
      </c>
      <c r="C191" s="1" t="s">
        <v>242</v>
      </c>
      <c r="D191" s="1" t="s">
        <v>56</v>
      </c>
      <c r="E191" s="6" t="str">
        <f>HYPERLINK("https://www.bioscidb.com/browse/deal_bg/1014","Link")</f>
        <v>Link</v>
      </c>
      <c r="F191" s="1" t="s">
        <v>27</v>
      </c>
      <c r="G191" s="16" t="s">
        <v>82</v>
      </c>
      <c r="H191" s="4">
        <v>804.4</v>
      </c>
      <c r="I191" s="4">
        <v>550.5</v>
      </c>
      <c r="J191" s="4" t="s">
        <v>14</v>
      </c>
      <c r="K191" s="20">
        <f>I191/H191</f>
        <v>0.6843610144206862</v>
      </c>
      <c r="L191" s="1" t="s">
        <v>335</v>
      </c>
    </row>
    <row r="192" spans="1:12" ht="12.75">
      <c r="A192" s="3" t="s">
        <v>68</v>
      </c>
      <c r="B192" s="1" t="s">
        <v>231</v>
      </c>
      <c r="C192" s="1" t="s">
        <v>170</v>
      </c>
      <c r="D192" s="1" t="s">
        <v>56</v>
      </c>
      <c r="E192" s="6" t="str">
        <f>HYPERLINK("https://www.bioscidb.com/browse/deal_bg/7029","Link")</f>
        <v>Link</v>
      </c>
      <c r="F192" s="1" t="s">
        <v>27</v>
      </c>
      <c r="G192" s="16" t="s">
        <v>82</v>
      </c>
      <c r="H192" s="4">
        <v>206.3</v>
      </c>
      <c r="I192" s="4">
        <v>11.3</v>
      </c>
      <c r="J192" s="4" t="s">
        <v>14</v>
      </c>
      <c r="K192" s="20">
        <f>I192/H192</f>
        <v>0.054774600096946194</v>
      </c>
      <c r="L192" s="1" t="s">
        <v>232</v>
      </c>
    </row>
    <row r="193" spans="1:12" ht="12.75">
      <c r="A193" s="3" t="s">
        <v>177</v>
      </c>
      <c r="B193" s="1" t="s">
        <v>323</v>
      </c>
      <c r="C193" s="1" t="s">
        <v>324</v>
      </c>
      <c r="D193" s="1" t="s">
        <v>56</v>
      </c>
      <c r="E193" s="6" t="str">
        <f>HYPERLINK("https://www.bioscidb.com/browse/deal_bg/6881","Link")</f>
        <v>Link</v>
      </c>
      <c r="F193" s="1" t="s">
        <v>27</v>
      </c>
      <c r="G193" s="16" t="s">
        <v>30</v>
      </c>
      <c r="H193" s="4">
        <v>635</v>
      </c>
      <c r="I193" s="4">
        <v>585</v>
      </c>
      <c r="J193" s="4" t="s">
        <v>14</v>
      </c>
      <c r="K193" s="20">
        <f>I193/H193</f>
        <v>0.9212598425196851</v>
      </c>
      <c r="L193" s="1" t="s">
        <v>14</v>
      </c>
    </row>
    <row r="194" spans="1:12" ht="12.75">
      <c r="A194" s="3" t="s">
        <v>351</v>
      </c>
      <c r="B194" s="1" t="s">
        <v>806</v>
      </c>
      <c r="C194" s="1" t="s">
        <v>764</v>
      </c>
      <c r="D194" s="1" t="s">
        <v>56</v>
      </c>
      <c r="E194" s="6" t="str">
        <f>HYPERLINK("https://www.bioscidb.com/browse/deal_bg/6842","Link")</f>
        <v>Link</v>
      </c>
      <c r="F194" s="1" t="s">
        <v>15</v>
      </c>
      <c r="G194" s="16" t="s">
        <v>807</v>
      </c>
      <c r="H194" s="4">
        <v>1850</v>
      </c>
      <c r="I194" s="4">
        <v>1600</v>
      </c>
      <c r="J194" s="4" t="s">
        <v>14</v>
      </c>
      <c r="K194" s="20">
        <f>I194/H194</f>
        <v>0.8648648648648649</v>
      </c>
      <c r="L194" s="1" t="s">
        <v>14</v>
      </c>
    </row>
    <row r="195" spans="1:12" ht="12.75">
      <c r="A195" s="3" t="s">
        <v>196</v>
      </c>
      <c r="B195" s="1" t="s">
        <v>236</v>
      </c>
      <c r="C195" s="1" t="s">
        <v>132</v>
      </c>
      <c r="D195" s="1" t="s">
        <v>56</v>
      </c>
      <c r="E195" s="6" t="str">
        <f>HYPERLINK("https://www.bioscidb.com/browse/deal_bg/5815","Link")</f>
        <v>Link</v>
      </c>
      <c r="F195" s="1" t="s">
        <v>27</v>
      </c>
      <c r="G195" s="16" t="s">
        <v>30</v>
      </c>
      <c r="H195" s="4">
        <v>375</v>
      </c>
      <c r="I195" s="4">
        <v>350</v>
      </c>
      <c r="J195" s="4" t="s">
        <v>14</v>
      </c>
      <c r="K195" s="20">
        <f>I195/H195</f>
        <v>0.9333333333333333</v>
      </c>
      <c r="L195" s="1" t="s">
        <v>14</v>
      </c>
    </row>
    <row r="196" spans="1:12" ht="12.75">
      <c r="A196" s="3" t="s">
        <v>172</v>
      </c>
      <c r="B196" s="1" t="s">
        <v>173</v>
      </c>
      <c r="C196" s="1" t="s">
        <v>174</v>
      </c>
      <c r="D196" s="1" t="s">
        <v>56</v>
      </c>
      <c r="E196" s="6" t="str">
        <f>HYPERLINK("https://www.bioscidb.com/browse/deal_bg/4863","Link")</f>
        <v>Link</v>
      </c>
      <c r="F196" s="1" t="s">
        <v>27</v>
      </c>
      <c r="G196" s="16" t="s">
        <v>175</v>
      </c>
      <c r="H196" s="4">
        <v>29.8</v>
      </c>
      <c r="I196" s="4" t="s">
        <v>14</v>
      </c>
      <c r="J196" s="4">
        <v>29.8</v>
      </c>
      <c r="K196" s="20"/>
      <c r="L196" s="1" t="s">
        <v>176</v>
      </c>
    </row>
    <row r="197" spans="1:12" ht="12.75">
      <c r="A197" s="3" t="s">
        <v>172</v>
      </c>
      <c r="B197" s="1" t="s">
        <v>547</v>
      </c>
      <c r="C197" s="1" t="s">
        <v>548</v>
      </c>
      <c r="D197" s="1" t="s">
        <v>56</v>
      </c>
      <c r="E197" s="6" t="str">
        <f>HYPERLINK("https://www.bioscidb.com/browse/deal_bg/9309","Link")</f>
        <v>Link</v>
      </c>
      <c r="F197" s="1" t="s">
        <v>69</v>
      </c>
      <c r="G197" s="16" t="s">
        <v>30</v>
      </c>
      <c r="H197" s="4">
        <v>120</v>
      </c>
      <c r="I197" s="4">
        <v>105</v>
      </c>
      <c r="J197" s="4" t="s">
        <v>14</v>
      </c>
      <c r="K197" s="20">
        <f>I197/H197</f>
        <v>0.875</v>
      </c>
      <c r="L197" s="1" t="s">
        <v>14</v>
      </c>
    </row>
    <row r="198" spans="1:12" ht="25.5">
      <c r="A198" s="3" t="s">
        <v>583</v>
      </c>
      <c r="B198" s="1" t="s">
        <v>718</v>
      </c>
      <c r="C198" s="1" t="s">
        <v>478</v>
      </c>
      <c r="D198" s="1" t="s">
        <v>56</v>
      </c>
      <c r="E198" s="6" t="str">
        <f>HYPERLINK("https://www.bioscidb.com/browse/deal_bg/6801","Link")</f>
        <v>Link</v>
      </c>
      <c r="F198" s="1" t="s">
        <v>15</v>
      </c>
      <c r="G198" s="16" t="s">
        <v>719</v>
      </c>
      <c r="H198" s="4">
        <v>132.5</v>
      </c>
      <c r="I198" s="4">
        <v>112.5</v>
      </c>
      <c r="J198" s="4" t="s">
        <v>14</v>
      </c>
      <c r="K198" s="20">
        <f>I198/H198</f>
        <v>0.8490566037735849</v>
      </c>
      <c r="L198" s="1" t="s">
        <v>720</v>
      </c>
    </row>
    <row r="199" spans="1:12" ht="12.75">
      <c r="A199" s="3" t="s">
        <v>290</v>
      </c>
      <c r="B199" s="1" t="s">
        <v>291</v>
      </c>
      <c r="C199" s="1" t="s">
        <v>292</v>
      </c>
      <c r="D199" s="1" t="s">
        <v>56</v>
      </c>
      <c r="E199" s="6" t="str">
        <f>HYPERLINK("https://www.bioscidb.com/browse/deal_bg/6600","Link")</f>
        <v>Link</v>
      </c>
      <c r="F199" s="1" t="s">
        <v>27</v>
      </c>
      <c r="G199" s="16" t="s">
        <v>30</v>
      </c>
      <c r="H199" s="4">
        <v>150</v>
      </c>
      <c r="I199" s="4">
        <v>125</v>
      </c>
      <c r="J199" s="4" t="s">
        <v>14</v>
      </c>
      <c r="K199" s="20">
        <f>I199/H199</f>
        <v>0.8333333333333334</v>
      </c>
      <c r="L199" s="1" t="s">
        <v>293</v>
      </c>
    </row>
    <row r="200" spans="1:12" ht="12.75">
      <c r="A200" s="3" t="s">
        <v>168</v>
      </c>
      <c r="B200" s="1" t="s">
        <v>169</v>
      </c>
      <c r="C200" s="1" t="s">
        <v>170</v>
      </c>
      <c r="D200" s="1" t="s">
        <v>56</v>
      </c>
      <c r="E200" s="6" t="str">
        <f>HYPERLINK("https://www.bioscidb.com/browse/deal_bg/5173","Link")</f>
        <v>Link</v>
      </c>
      <c r="F200" s="1" t="s">
        <v>27</v>
      </c>
      <c r="G200" s="16" t="s">
        <v>30</v>
      </c>
      <c r="H200" s="4">
        <v>218</v>
      </c>
      <c r="I200" s="4">
        <v>206</v>
      </c>
      <c r="J200" s="4" t="s">
        <v>14</v>
      </c>
      <c r="K200" s="20">
        <f>I200/H200</f>
        <v>0.944954128440367</v>
      </c>
      <c r="L200" s="1" t="s">
        <v>171</v>
      </c>
    </row>
    <row r="201" spans="1:12" ht="12.75">
      <c r="A201" s="3" t="s">
        <v>168</v>
      </c>
      <c r="B201" s="1" t="s">
        <v>326</v>
      </c>
      <c r="C201" s="1" t="s">
        <v>327</v>
      </c>
      <c r="D201" s="1" t="s">
        <v>56</v>
      </c>
      <c r="E201" s="6" t="str">
        <f>HYPERLINK("https://www.bioscidb.com/browse/deal_bg/5252","Link")</f>
        <v>Link</v>
      </c>
      <c r="F201" s="1" t="s">
        <v>27</v>
      </c>
      <c r="G201" s="16" t="s">
        <v>30</v>
      </c>
      <c r="H201" s="4">
        <v>700</v>
      </c>
      <c r="I201" s="4">
        <v>650</v>
      </c>
      <c r="J201" s="4" t="s">
        <v>14</v>
      </c>
      <c r="K201" s="20">
        <f>I201/H201</f>
        <v>0.9285714285714286</v>
      </c>
      <c r="L201" s="1" t="s">
        <v>328</v>
      </c>
    </row>
    <row r="202" spans="1:12" ht="12.75">
      <c r="A202" s="3" t="s">
        <v>168</v>
      </c>
      <c r="B202" s="1" t="s">
        <v>371</v>
      </c>
      <c r="C202" s="1" t="s">
        <v>114</v>
      </c>
      <c r="D202" s="1" t="s">
        <v>56</v>
      </c>
      <c r="E202" s="6" t="str">
        <f>HYPERLINK("https://www.bioscidb.com/browse/deal_bg/6599","Link")</f>
        <v>Link</v>
      </c>
      <c r="F202" s="1" t="s">
        <v>69</v>
      </c>
      <c r="G202" s="16" t="s">
        <v>30</v>
      </c>
      <c r="H202" s="4">
        <v>800</v>
      </c>
      <c r="I202" s="4">
        <v>800</v>
      </c>
      <c r="J202" s="4" t="s">
        <v>14</v>
      </c>
      <c r="K202" s="20">
        <f>I202/H202</f>
        <v>1</v>
      </c>
      <c r="L202" s="1" t="s">
        <v>372</v>
      </c>
    </row>
    <row r="203" spans="1:12" ht="12.75">
      <c r="A203" s="3" t="s">
        <v>168</v>
      </c>
      <c r="B203" s="1" t="s">
        <v>297</v>
      </c>
      <c r="C203" s="1" t="s">
        <v>298</v>
      </c>
      <c r="D203" s="1" t="s">
        <v>56</v>
      </c>
      <c r="E203" s="6" t="str">
        <f>HYPERLINK("https://www.bioscidb.com/browse/deal_bg/1103","Link")</f>
        <v>Link</v>
      </c>
      <c r="F203" s="1" t="s">
        <v>27</v>
      </c>
      <c r="G203" s="16" t="s">
        <v>30</v>
      </c>
      <c r="H203" s="4">
        <v>5930</v>
      </c>
      <c r="I203" s="4">
        <v>5600</v>
      </c>
      <c r="J203" s="4" t="s">
        <v>14</v>
      </c>
      <c r="K203" s="20">
        <f>I203/H203</f>
        <v>0.9443507588532883</v>
      </c>
      <c r="L203" s="1" t="s">
        <v>299</v>
      </c>
    </row>
    <row r="204" spans="1:12" ht="25.5">
      <c r="A204" s="3" t="s">
        <v>44</v>
      </c>
      <c r="B204" s="1" t="s">
        <v>810</v>
      </c>
      <c r="C204" s="1" t="s">
        <v>811</v>
      </c>
      <c r="D204" s="1" t="s">
        <v>56</v>
      </c>
      <c r="E204" s="6" t="str">
        <f>HYPERLINK("https://www.bioscidb.com/browse/deal_bg/5884","Link")</f>
        <v>Link</v>
      </c>
      <c r="F204" s="1" t="s">
        <v>15</v>
      </c>
      <c r="G204" s="16" t="s">
        <v>812</v>
      </c>
      <c r="H204" s="4">
        <v>4</v>
      </c>
      <c r="I204" s="4" t="s">
        <v>14</v>
      </c>
      <c r="J204" s="4">
        <v>2</v>
      </c>
      <c r="K204" s="20">
        <f>J204/H204</f>
        <v>0.5</v>
      </c>
      <c r="L204" s="1" t="s">
        <v>813</v>
      </c>
    </row>
    <row r="205" spans="1:12" ht="12.75">
      <c r="A205" s="3" t="s">
        <v>763</v>
      </c>
      <c r="B205" s="1" t="s">
        <v>764</v>
      </c>
      <c r="C205" s="1" t="s">
        <v>765</v>
      </c>
      <c r="D205" s="1" t="s">
        <v>56</v>
      </c>
      <c r="E205" s="6" t="str">
        <f>HYPERLINK("https://www.bioscidb.com/browse/deal_bg/14422","Link")</f>
        <v>Link</v>
      </c>
      <c r="F205" s="1" t="s">
        <v>15</v>
      </c>
      <c r="G205" s="16" t="s">
        <v>766</v>
      </c>
      <c r="H205" s="4" t="s">
        <v>14</v>
      </c>
      <c r="I205" s="4" t="s">
        <v>14</v>
      </c>
      <c r="J205" s="4" t="s">
        <v>14</v>
      </c>
      <c r="K205" s="20"/>
      <c r="L205" s="1" t="s">
        <v>14</v>
      </c>
    </row>
    <row r="206" spans="1:12" ht="12.75">
      <c r="A206" s="3" t="s">
        <v>300</v>
      </c>
      <c r="B206" s="1" t="s">
        <v>301</v>
      </c>
      <c r="C206" s="1" t="s">
        <v>242</v>
      </c>
      <c r="D206" s="1" t="s">
        <v>56</v>
      </c>
      <c r="E206" s="6" t="str">
        <f>HYPERLINK("https://www.bioscidb.com/browse/deal_bg/209","Link")</f>
        <v>Link</v>
      </c>
      <c r="F206" s="1" t="s">
        <v>27</v>
      </c>
      <c r="G206" s="16" t="s">
        <v>30</v>
      </c>
      <c r="H206" s="4">
        <v>390</v>
      </c>
      <c r="I206" s="4">
        <v>190</v>
      </c>
      <c r="J206" s="4" t="s">
        <v>14</v>
      </c>
      <c r="K206" s="20">
        <f>I206/H206</f>
        <v>0.48717948717948717</v>
      </c>
      <c r="L206" s="1" t="s">
        <v>302</v>
      </c>
    </row>
    <row r="207" spans="1:12" ht="12.75">
      <c r="A207" s="3" t="s">
        <v>796</v>
      </c>
      <c r="B207" s="1" t="s">
        <v>797</v>
      </c>
      <c r="C207" s="1" t="s">
        <v>798</v>
      </c>
      <c r="D207" s="1" t="s">
        <v>56</v>
      </c>
      <c r="E207" s="6" t="str">
        <f>HYPERLINK("https://www.bioscidb.com/browse/deal_bg/1122","Link")</f>
        <v>Link</v>
      </c>
      <c r="F207" s="1" t="s">
        <v>45</v>
      </c>
      <c r="G207" s="16" t="s">
        <v>30</v>
      </c>
      <c r="H207" s="4">
        <v>618</v>
      </c>
      <c r="I207" s="4">
        <v>562</v>
      </c>
      <c r="J207" s="4" t="s">
        <v>14</v>
      </c>
      <c r="K207" s="20">
        <f>I207/H207</f>
        <v>0.9093851132686084</v>
      </c>
      <c r="L207" s="1" t="s">
        <v>799</v>
      </c>
    </row>
    <row r="208" spans="1:12" ht="12.75">
      <c r="A208" s="3" t="s">
        <v>319</v>
      </c>
      <c r="B208" s="1" t="s">
        <v>320</v>
      </c>
      <c r="C208" s="1" t="s">
        <v>321</v>
      </c>
      <c r="D208" s="1" t="s">
        <v>56</v>
      </c>
      <c r="E208" s="6" t="str">
        <f>HYPERLINK("https://www.bioscidb.com/browse/deal_bg/13310","Link")</f>
        <v>Link</v>
      </c>
      <c r="F208" s="1" t="s">
        <v>27</v>
      </c>
      <c r="G208" s="16" t="s">
        <v>100</v>
      </c>
      <c r="H208" s="4">
        <v>100</v>
      </c>
      <c r="I208" s="4">
        <v>57</v>
      </c>
      <c r="J208" s="4" t="s">
        <v>14</v>
      </c>
      <c r="K208" s="20">
        <f>I208/H208</f>
        <v>0.57</v>
      </c>
      <c r="L208" s="1" t="s">
        <v>14</v>
      </c>
    </row>
    <row r="209" spans="1:12" ht="12.75">
      <c r="A209" s="3" t="s">
        <v>103</v>
      </c>
      <c r="B209" s="17" t="s">
        <v>279</v>
      </c>
      <c r="C209" s="1" t="s">
        <v>216</v>
      </c>
      <c r="D209" s="1" t="s">
        <v>56</v>
      </c>
      <c r="E209" s="6" t="str">
        <f>HYPERLINK("https://www.bioscidb.com/browse/deal_bg/15974","Link")</f>
        <v>Link</v>
      </c>
      <c r="F209" s="1" t="s">
        <v>27</v>
      </c>
      <c r="G209" s="16" t="s">
        <v>30</v>
      </c>
      <c r="H209" s="4">
        <v>1575</v>
      </c>
      <c r="I209" s="4">
        <v>1300</v>
      </c>
      <c r="J209" s="4" t="s">
        <v>14</v>
      </c>
      <c r="K209" s="20">
        <f>I209/H209</f>
        <v>0.8253968253968254</v>
      </c>
      <c r="L209" s="1" t="s">
        <v>244</v>
      </c>
    </row>
    <row r="210" spans="1:12" ht="12.75">
      <c r="A210" s="3" t="s">
        <v>103</v>
      </c>
      <c r="B210" s="1" t="s">
        <v>336</v>
      </c>
      <c r="C210" s="1" t="s">
        <v>126</v>
      </c>
      <c r="D210" s="1" t="s">
        <v>56</v>
      </c>
      <c r="E210" s="6" t="str">
        <f>HYPERLINK("https://www.bioscidb.com/browse/deal_bg/1695","Link")</f>
        <v>Link</v>
      </c>
      <c r="F210" s="1" t="s">
        <v>27</v>
      </c>
      <c r="G210" s="16" t="s">
        <v>82</v>
      </c>
      <c r="H210" s="4">
        <v>23980</v>
      </c>
      <c r="I210" s="4">
        <v>20165</v>
      </c>
      <c r="J210" s="4" t="s">
        <v>14</v>
      </c>
      <c r="K210" s="20">
        <f>I210/H210</f>
        <v>0.8409090909090909</v>
      </c>
      <c r="L210" s="1" t="s">
        <v>337</v>
      </c>
    </row>
    <row r="211" spans="1:12" ht="12.75">
      <c r="A211" s="3" t="s">
        <v>26</v>
      </c>
      <c r="B211" s="1" t="s">
        <v>520</v>
      </c>
      <c r="C211" s="1" t="s">
        <v>521</v>
      </c>
      <c r="D211" s="1" t="s">
        <v>56</v>
      </c>
      <c r="E211" s="6" t="str">
        <f>HYPERLINK("https://www.bioscidb.com/browse/deal_bg/11870","Link")</f>
        <v>Link</v>
      </c>
      <c r="F211" s="1" t="s">
        <v>15</v>
      </c>
      <c r="G211" s="16" t="s">
        <v>30</v>
      </c>
      <c r="H211" s="4">
        <v>536</v>
      </c>
      <c r="I211" s="4">
        <v>494</v>
      </c>
      <c r="J211" s="4" t="s">
        <v>14</v>
      </c>
      <c r="K211" s="20">
        <f>I211/H211</f>
        <v>0.9216417910447762</v>
      </c>
      <c r="L211" s="1" t="s">
        <v>522</v>
      </c>
    </row>
    <row r="212" spans="1:12" ht="12.75">
      <c r="A212" s="3" t="s">
        <v>124</v>
      </c>
      <c r="B212" s="1" t="s">
        <v>309</v>
      </c>
      <c r="C212" s="1" t="s">
        <v>71</v>
      </c>
      <c r="D212" s="1" t="s">
        <v>56</v>
      </c>
      <c r="E212" s="6" t="str">
        <f>HYPERLINK("https://www.bioscidb.com/browse/deal_bg/965","Link")</f>
        <v>Link</v>
      </c>
      <c r="F212" s="1" t="s">
        <v>27</v>
      </c>
      <c r="G212" s="16" t="s">
        <v>310</v>
      </c>
      <c r="H212" s="4">
        <v>3550</v>
      </c>
      <c r="I212" s="4">
        <v>2900</v>
      </c>
      <c r="J212" s="4" t="s">
        <v>14</v>
      </c>
      <c r="K212" s="20">
        <f>I212/H212</f>
        <v>0.8169014084507042</v>
      </c>
      <c r="L212" s="1" t="s">
        <v>311</v>
      </c>
    </row>
    <row r="213" spans="1:12" ht="25.5">
      <c r="A213" s="3" t="s">
        <v>312</v>
      </c>
      <c r="B213" s="1" t="s">
        <v>313</v>
      </c>
      <c r="C213" s="1" t="s">
        <v>314</v>
      </c>
      <c r="D213" s="17" t="s">
        <v>56</v>
      </c>
      <c r="E213" s="6" t="str">
        <f>HYPERLINK("https://www.bioscidb.com/browse/deal_bg/5362","Link")</f>
        <v>Link</v>
      </c>
      <c r="F213" s="1" t="s">
        <v>27</v>
      </c>
      <c r="G213" s="16" t="s">
        <v>315</v>
      </c>
      <c r="H213" s="4">
        <v>327</v>
      </c>
      <c r="I213" s="4">
        <v>300</v>
      </c>
      <c r="J213" s="4" t="s">
        <v>14</v>
      </c>
      <c r="K213" s="20">
        <f>I213/H213</f>
        <v>0.9174311926605505</v>
      </c>
      <c r="L213" s="1" t="s">
        <v>316</v>
      </c>
    </row>
    <row r="214" spans="1:12" ht="25.5">
      <c r="A214" s="3" t="s">
        <v>947</v>
      </c>
      <c r="B214" s="1" t="s">
        <v>948</v>
      </c>
      <c r="C214" s="1" t="s">
        <v>949</v>
      </c>
      <c r="D214" s="1" t="s">
        <v>56</v>
      </c>
      <c r="E214" s="6" t="str">
        <f>HYPERLINK("https://www.bioscidb.com/browse/deal_bg/6320","Link")</f>
        <v>Link</v>
      </c>
      <c r="F214" s="1" t="s">
        <v>15</v>
      </c>
      <c r="G214" s="16" t="s">
        <v>950</v>
      </c>
      <c r="H214" s="4">
        <v>1</v>
      </c>
      <c r="I214" s="4">
        <v>1</v>
      </c>
      <c r="J214" s="4" t="s">
        <v>14</v>
      </c>
      <c r="K214" s="20">
        <f>I214/H214</f>
        <v>1</v>
      </c>
      <c r="L214" s="1" t="s">
        <v>951</v>
      </c>
    </row>
    <row r="215" spans="1:12" ht="12.75">
      <c r="A215" s="3" t="s">
        <v>306</v>
      </c>
      <c r="B215" s="1" t="s">
        <v>307</v>
      </c>
      <c r="C215" s="1" t="s">
        <v>138</v>
      </c>
      <c r="D215" s="17" t="s">
        <v>56</v>
      </c>
      <c r="E215" s="6" t="str">
        <f>HYPERLINK("https://www.bioscidb.com/browse/deal_bg/8385","Link")</f>
        <v>Link</v>
      </c>
      <c r="F215" s="1" t="s">
        <v>27</v>
      </c>
      <c r="G215" s="16" t="s">
        <v>182</v>
      </c>
      <c r="H215" s="4">
        <v>637</v>
      </c>
      <c r="I215" s="4">
        <v>370</v>
      </c>
      <c r="J215" s="4" t="s">
        <v>14</v>
      </c>
      <c r="K215" s="20">
        <f>I215/H215</f>
        <v>0.5808477237048666</v>
      </c>
      <c r="L215" s="1" t="s">
        <v>308</v>
      </c>
    </row>
    <row r="216" spans="1:12" ht="12.75">
      <c r="A216" s="3" t="s">
        <v>42</v>
      </c>
      <c r="B216" s="1" t="s">
        <v>808</v>
      </c>
      <c r="C216" s="1" t="s">
        <v>466</v>
      </c>
      <c r="D216" s="1" t="s">
        <v>56</v>
      </c>
      <c r="E216" s="6" t="str">
        <f>HYPERLINK("https://www.bioscidb.com/browse/deal_bg/14415","Link")</f>
        <v>Link</v>
      </c>
      <c r="F216" s="1" t="s">
        <v>15</v>
      </c>
      <c r="G216" s="16" t="s">
        <v>30</v>
      </c>
      <c r="H216" s="4">
        <v>525</v>
      </c>
      <c r="I216" s="4">
        <v>285</v>
      </c>
      <c r="J216" s="4" t="s">
        <v>14</v>
      </c>
      <c r="K216" s="20">
        <f>I216/H216</f>
        <v>0.5428571428571428</v>
      </c>
      <c r="L216" s="1" t="s">
        <v>809</v>
      </c>
    </row>
    <row r="217" spans="1:12" ht="25.5">
      <c r="A217" s="3" t="s">
        <v>228</v>
      </c>
      <c r="B217" s="1" t="s">
        <v>220</v>
      </c>
      <c r="C217" s="1" t="s">
        <v>170</v>
      </c>
      <c r="D217" s="17" t="s">
        <v>56</v>
      </c>
      <c r="E217" s="6" t="str">
        <f>HYPERLINK("https://www.bioscidb.com/browse/deal_bg/1716","Link")</f>
        <v>Link</v>
      </c>
      <c r="F217" s="1" t="s">
        <v>15</v>
      </c>
      <c r="G217" s="16" t="s">
        <v>229</v>
      </c>
      <c r="H217" s="4">
        <v>30</v>
      </c>
      <c r="I217" s="4">
        <v>15</v>
      </c>
      <c r="J217" s="4" t="s">
        <v>14</v>
      </c>
      <c r="K217" s="20">
        <f>I217/H217</f>
        <v>0.5</v>
      </c>
      <c r="L217" s="1" t="s">
        <v>230</v>
      </c>
    </row>
    <row r="218" spans="1:12" ht="12.75">
      <c r="A218" s="3" t="s">
        <v>179</v>
      </c>
      <c r="B218" s="1" t="s">
        <v>180</v>
      </c>
      <c r="C218" s="1" t="s">
        <v>181</v>
      </c>
      <c r="D218" s="1" t="s">
        <v>56</v>
      </c>
      <c r="E218" s="6" t="str">
        <f>HYPERLINK("https://www.bioscidb.com/browse/deal_bg/8028","Link")</f>
        <v>Link</v>
      </c>
      <c r="F218" s="1" t="s">
        <v>27</v>
      </c>
      <c r="G218" s="16" t="s">
        <v>182</v>
      </c>
      <c r="H218" s="4">
        <v>4600</v>
      </c>
      <c r="I218" s="4">
        <v>3630</v>
      </c>
      <c r="J218" s="4" t="s">
        <v>14</v>
      </c>
      <c r="K218" s="20">
        <f>I218/H218</f>
        <v>0.7891304347826087</v>
      </c>
      <c r="L218" s="1" t="s">
        <v>183</v>
      </c>
    </row>
    <row r="219" spans="1:12" ht="25.5">
      <c r="A219" s="3" t="s">
        <v>13</v>
      </c>
      <c r="B219" s="1" t="s">
        <v>16</v>
      </c>
      <c r="C219" s="1" t="s">
        <v>17</v>
      </c>
      <c r="D219" s="17" t="s">
        <v>56</v>
      </c>
      <c r="E219" s="6" t="str">
        <f>HYPERLINK("https://www.bioscidb.com/browse/deal_bg/518","Link")</f>
        <v>Link</v>
      </c>
      <c r="F219" s="1" t="s">
        <v>15</v>
      </c>
      <c r="G219" s="16" t="s">
        <v>18</v>
      </c>
      <c r="H219" s="4">
        <v>170</v>
      </c>
      <c r="I219" s="4">
        <v>85</v>
      </c>
      <c r="J219" s="4" t="s">
        <v>14</v>
      </c>
      <c r="K219" s="20">
        <f>I219/H219</f>
        <v>0.5</v>
      </c>
      <c r="L219" s="1" t="s">
        <v>20</v>
      </c>
    </row>
    <row r="220" spans="1:12" ht="12.75">
      <c r="A220" s="3" t="s">
        <v>338</v>
      </c>
      <c r="B220" s="1" t="s">
        <v>339</v>
      </c>
      <c r="C220" s="1" t="s">
        <v>340</v>
      </c>
      <c r="D220" s="1" t="s">
        <v>56</v>
      </c>
      <c r="E220" s="6" t="str">
        <f>HYPERLINK("https://www.bioscidb.com/browse/deal_bg/14738","Link")</f>
        <v>Link</v>
      </c>
      <c r="F220" s="1" t="s">
        <v>15</v>
      </c>
      <c r="G220" s="16" t="s">
        <v>341</v>
      </c>
      <c r="H220" s="4">
        <v>4.9</v>
      </c>
      <c r="I220" s="4">
        <v>3.8</v>
      </c>
      <c r="J220" s="4" t="s">
        <v>14</v>
      </c>
      <c r="K220" s="20">
        <f>I220/H220</f>
        <v>0.7755102040816325</v>
      </c>
      <c r="L220" s="1" t="s">
        <v>14</v>
      </c>
    </row>
    <row r="221" spans="1:12" ht="25.5">
      <c r="A221" s="3" t="s">
        <v>634</v>
      </c>
      <c r="B221" s="1" t="s">
        <v>635</v>
      </c>
      <c r="C221" s="1" t="s">
        <v>636</v>
      </c>
      <c r="D221" s="17" t="s">
        <v>56</v>
      </c>
      <c r="E221" s="6" t="str">
        <f>HYPERLINK("https://www.bioscidb.com/browse/deal_bg/11693","Link")</f>
        <v>Link</v>
      </c>
      <c r="F221" s="1" t="s">
        <v>15</v>
      </c>
      <c r="G221" s="16" t="s">
        <v>637</v>
      </c>
      <c r="H221" s="4">
        <v>355.1</v>
      </c>
      <c r="I221" s="4">
        <v>100.1</v>
      </c>
      <c r="J221" s="4" t="s">
        <v>14</v>
      </c>
      <c r="K221" s="20">
        <f>I221/H221</f>
        <v>0.28189242466910724</v>
      </c>
      <c r="L221" s="1" t="s">
        <v>14</v>
      </c>
    </row>
    <row r="222" spans="1:12" ht="12.75">
      <c r="A222" s="3" t="s">
        <v>57</v>
      </c>
      <c r="B222" s="1" t="s">
        <v>58</v>
      </c>
      <c r="C222" s="1" t="s">
        <v>59</v>
      </c>
      <c r="D222" s="1" t="s">
        <v>56</v>
      </c>
      <c r="E222" s="6" t="str">
        <f>HYPERLINK("https://www.bioscidb.com/browse/deal_bg/548","Link")</f>
        <v>Link</v>
      </c>
      <c r="F222" s="1" t="s">
        <v>27</v>
      </c>
      <c r="G222" s="16" t="s">
        <v>30</v>
      </c>
      <c r="H222" s="4">
        <v>177.25</v>
      </c>
      <c r="I222" s="4">
        <v>122.25</v>
      </c>
      <c r="J222" s="4" t="s">
        <v>14</v>
      </c>
      <c r="K222" s="20">
        <f>I222/H222</f>
        <v>0.689703808180536</v>
      </c>
      <c r="L222" s="1" t="s">
        <v>60</v>
      </c>
    </row>
    <row r="223" spans="1:12" ht="12.75">
      <c r="A223" s="3" t="s">
        <v>238</v>
      </c>
      <c r="B223" s="1" t="s">
        <v>93</v>
      </c>
      <c r="C223" s="1" t="s">
        <v>611</v>
      </c>
      <c r="D223" s="1" t="s">
        <v>56</v>
      </c>
      <c r="E223" s="6" t="str">
        <f>HYPERLINK("https://www.bioscidb.com/browse/deal_bg/7198","Link")</f>
        <v>Link</v>
      </c>
      <c r="F223" s="1" t="s">
        <v>15</v>
      </c>
      <c r="G223" s="16" t="s">
        <v>612</v>
      </c>
      <c r="H223" s="4">
        <v>120</v>
      </c>
      <c r="I223" s="4">
        <v>50</v>
      </c>
      <c r="J223" s="4" t="s">
        <v>14</v>
      </c>
      <c r="K223" s="20">
        <f>I223/H223</f>
        <v>0.4166666666666667</v>
      </c>
      <c r="L223" s="1" t="s">
        <v>14</v>
      </c>
    </row>
    <row r="224" spans="1:12" ht="12.75">
      <c r="A224" s="3" t="s">
        <v>164</v>
      </c>
      <c r="B224" s="1" t="s">
        <v>165</v>
      </c>
      <c r="C224" s="1" t="s">
        <v>166</v>
      </c>
      <c r="D224" s="1" t="s">
        <v>56</v>
      </c>
      <c r="E224" s="6" t="str">
        <f>HYPERLINK("https://www.bioscidb.com/browse/deal_bg/3188","Link")</f>
        <v>Link</v>
      </c>
      <c r="F224" s="1" t="s">
        <v>15</v>
      </c>
      <c r="G224" s="16" t="s">
        <v>167</v>
      </c>
      <c r="H224" s="4">
        <v>4600</v>
      </c>
      <c r="I224" s="4">
        <v>4100</v>
      </c>
      <c r="J224" s="4" t="s">
        <v>14</v>
      </c>
      <c r="K224" s="20">
        <f>I224/H224</f>
        <v>0.8913043478260869</v>
      </c>
      <c r="L224" s="1" t="s">
        <v>14</v>
      </c>
    </row>
    <row r="225" spans="1:12" ht="12.75">
      <c r="A225" s="3" t="s">
        <v>673</v>
      </c>
      <c r="B225" s="1" t="s">
        <v>674</v>
      </c>
      <c r="C225" s="1" t="s">
        <v>675</v>
      </c>
      <c r="D225" s="1" t="s">
        <v>56</v>
      </c>
      <c r="E225" s="6" t="str">
        <f>HYPERLINK("https://www.bioscidb.com/browse/deal_bg/14742","Link")</f>
        <v>Link</v>
      </c>
      <c r="F225" s="1" t="s">
        <v>15</v>
      </c>
      <c r="G225" s="16" t="s">
        <v>676</v>
      </c>
      <c r="H225" s="4">
        <v>22.25</v>
      </c>
      <c r="I225" s="4">
        <v>14</v>
      </c>
      <c r="J225" s="4" t="s">
        <v>14</v>
      </c>
      <c r="K225" s="20">
        <f>I225/H225</f>
        <v>0.6292134831460674</v>
      </c>
      <c r="L225" s="1" t="s">
        <v>14</v>
      </c>
    </row>
    <row r="226" spans="1:12" ht="12.75">
      <c r="A226" s="3"/>
      <c r="B226" s="1"/>
      <c r="C226" s="1"/>
      <c r="D226" s="1"/>
      <c r="E226" s="6"/>
      <c r="F226" s="1"/>
      <c r="G226" s="16"/>
      <c r="H226" s="4"/>
      <c r="I226" s="4"/>
      <c r="J226" s="4"/>
      <c r="K226" s="20"/>
      <c r="L226" s="1"/>
    </row>
    <row r="227" spans="1:12" ht="12.75">
      <c r="A227" s="3"/>
      <c r="B227" s="1"/>
      <c r="C227" s="1"/>
      <c r="D227" s="23" t="s">
        <v>997</v>
      </c>
      <c r="E227" s="6"/>
      <c r="F227" s="1"/>
      <c r="G227" s="16"/>
      <c r="H227" s="4">
        <f>AVERAGE(H121:H225)</f>
        <v>2052.204455445544</v>
      </c>
      <c r="I227" s="4">
        <f>AVERAGE(I121:I225)</f>
        <v>1714.9241573033707</v>
      </c>
      <c r="J227" s="4">
        <f>AVERAGE(J121:J225)</f>
        <v>1037.1812499999999</v>
      </c>
      <c r="K227" s="20">
        <f>AVERAGE(K121:K225)</f>
        <v>0.6103375548036125</v>
      </c>
      <c r="L227" s="1"/>
    </row>
    <row r="228" spans="1:12" ht="12.75">
      <c r="A228" s="3"/>
      <c r="B228" s="1"/>
      <c r="C228" s="1"/>
      <c r="D228" s="23" t="s">
        <v>998</v>
      </c>
      <c r="E228" s="6"/>
      <c r="F228" s="1"/>
      <c r="G228" s="16"/>
      <c r="H228" s="4">
        <f>MEDIAN(H121:H225)</f>
        <v>305</v>
      </c>
      <c r="I228" s="4">
        <f>MEDIAN(I121:I225)</f>
        <v>250</v>
      </c>
      <c r="J228" s="4">
        <f>MEDIAN(J121:J225)</f>
        <v>32.4</v>
      </c>
      <c r="K228" s="20">
        <f>MEDIAN(K121:K225)</f>
        <v>0.6666666666666666</v>
      </c>
      <c r="L228" s="1"/>
    </row>
    <row r="229" spans="1:12" ht="12.75">
      <c r="A229" s="3"/>
      <c r="B229" s="1"/>
      <c r="C229" s="1"/>
      <c r="D229" s="23"/>
      <c r="E229" s="6"/>
      <c r="F229" s="1"/>
      <c r="G229" s="16"/>
      <c r="H229" s="4"/>
      <c r="I229" s="4"/>
      <c r="J229" s="4"/>
      <c r="K229" s="20"/>
      <c r="L229" s="1"/>
    </row>
    <row r="230" spans="1:12" ht="12.75">
      <c r="A230" s="3" t="s">
        <v>663</v>
      </c>
      <c r="B230" s="1" t="s">
        <v>888</v>
      </c>
      <c r="C230" s="1" t="s">
        <v>889</v>
      </c>
      <c r="D230" s="1" t="s">
        <v>131</v>
      </c>
      <c r="E230" s="6" t="str">
        <f>HYPERLINK("https://www.bioscidb.com/browse/deal_bg/15485","Link")</f>
        <v>Link</v>
      </c>
      <c r="F230" s="1" t="s">
        <v>27</v>
      </c>
      <c r="G230" s="16" t="s">
        <v>30</v>
      </c>
      <c r="H230" s="4">
        <v>101.8</v>
      </c>
      <c r="I230" s="4">
        <v>70.4</v>
      </c>
      <c r="J230" s="4" t="s">
        <v>14</v>
      </c>
      <c r="K230" s="20">
        <f>I230/H230</f>
        <v>0.6915520628683695</v>
      </c>
      <c r="L230" s="1" t="s">
        <v>890</v>
      </c>
    </row>
    <row r="231" spans="1:12" ht="25.5">
      <c r="A231" s="3" t="s">
        <v>663</v>
      </c>
      <c r="B231" s="1" t="s">
        <v>897</v>
      </c>
      <c r="C231" s="1" t="s">
        <v>898</v>
      </c>
      <c r="D231" s="1" t="s">
        <v>131</v>
      </c>
      <c r="E231" s="6" t="str">
        <f>HYPERLINK("https://www.bioscidb.com/browse/deal_bg/15517","Link")</f>
        <v>Link</v>
      </c>
      <c r="F231" s="1" t="s">
        <v>27</v>
      </c>
      <c r="G231" s="16" t="s">
        <v>899</v>
      </c>
      <c r="H231" s="4">
        <v>300</v>
      </c>
      <c r="I231" s="4">
        <v>40</v>
      </c>
      <c r="J231" s="4" t="s">
        <v>14</v>
      </c>
      <c r="K231" s="20">
        <f>I231/H231</f>
        <v>0.13333333333333333</v>
      </c>
      <c r="L231" s="1" t="s">
        <v>14</v>
      </c>
    </row>
    <row r="232" spans="1:12" ht="12.75">
      <c r="A232" s="3" t="s">
        <v>849</v>
      </c>
      <c r="B232" s="1" t="s">
        <v>863</v>
      </c>
      <c r="C232" s="1" t="s">
        <v>165</v>
      </c>
      <c r="D232" s="1" t="s">
        <v>131</v>
      </c>
      <c r="E232" s="6" t="str">
        <f>HYPERLINK("https://www.bioscidb.com/browse/deal_bg/14763","Link")</f>
        <v>Link</v>
      </c>
      <c r="F232" s="1" t="s">
        <v>69</v>
      </c>
      <c r="G232" s="16" t="s">
        <v>30</v>
      </c>
      <c r="H232" s="4">
        <v>565</v>
      </c>
      <c r="I232" s="4">
        <v>465</v>
      </c>
      <c r="J232" s="4" t="s">
        <v>14</v>
      </c>
      <c r="K232" s="20">
        <f>I232/H232</f>
        <v>0.8230088495575221</v>
      </c>
      <c r="L232" s="1" t="s">
        <v>864</v>
      </c>
    </row>
    <row r="233" spans="1:12" ht="12.75">
      <c r="A233" s="3" t="s">
        <v>790</v>
      </c>
      <c r="B233" s="1" t="s">
        <v>791</v>
      </c>
      <c r="C233" s="1" t="s">
        <v>792</v>
      </c>
      <c r="D233" s="1" t="s">
        <v>131</v>
      </c>
      <c r="E233" s="6" t="str">
        <f>HYPERLINK("https://www.bioscidb.com/browse/deal_bg/14310","Link")</f>
        <v>Link</v>
      </c>
      <c r="F233" s="1" t="s">
        <v>45</v>
      </c>
      <c r="G233" s="16" t="s">
        <v>30</v>
      </c>
      <c r="H233" s="4">
        <v>220</v>
      </c>
      <c r="I233" s="4">
        <v>120</v>
      </c>
      <c r="J233" s="4" t="s">
        <v>14</v>
      </c>
      <c r="K233" s="20">
        <f>I233/H233</f>
        <v>0.5454545454545454</v>
      </c>
      <c r="L233" s="1" t="s">
        <v>793</v>
      </c>
    </row>
    <row r="234" spans="1:12" ht="12.75">
      <c r="A234" s="3" t="s">
        <v>762</v>
      </c>
      <c r="B234" s="1" t="s">
        <v>920</v>
      </c>
      <c r="C234" s="1" t="s">
        <v>760</v>
      </c>
      <c r="D234" s="17" t="s">
        <v>131</v>
      </c>
      <c r="E234" s="6" t="str">
        <f>HYPERLINK("https://www.bioscidb.com/browse/deal_bg/14087","Link")</f>
        <v>Link</v>
      </c>
      <c r="F234" s="1" t="s">
        <v>27</v>
      </c>
      <c r="G234" s="16" t="s">
        <v>206</v>
      </c>
      <c r="H234" s="4">
        <v>1.5</v>
      </c>
      <c r="I234" s="4" t="s">
        <v>14</v>
      </c>
      <c r="J234" s="4">
        <v>1</v>
      </c>
      <c r="K234" s="20">
        <f>J234/H234</f>
        <v>0.6666666666666666</v>
      </c>
      <c r="L234" s="1" t="s">
        <v>14</v>
      </c>
    </row>
    <row r="235" spans="1:12" ht="12.75">
      <c r="A235" s="3" t="s">
        <v>762</v>
      </c>
      <c r="B235" s="1" t="s">
        <v>919</v>
      </c>
      <c r="C235" s="1" t="s">
        <v>760</v>
      </c>
      <c r="D235" s="1" t="s">
        <v>131</v>
      </c>
      <c r="E235" s="6" t="str">
        <f>HYPERLINK("https://www.bioscidb.com/browse/deal_bg/14077","Link")</f>
        <v>Link</v>
      </c>
      <c r="F235" s="1" t="s">
        <v>27</v>
      </c>
      <c r="G235" s="16" t="s">
        <v>206</v>
      </c>
      <c r="H235" s="4">
        <v>2.1</v>
      </c>
      <c r="I235" s="4" t="s">
        <v>14</v>
      </c>
      <c r="J235" s="4">
        <v>1.4</v>
      </c>
      <c r="K235" s="20">
        <f>J235/H235</f>
        <v>0.6666666666666666</v>
      </c>
      <c r="L235" s="1" t="s">
        <v>14</v>
      </c>
    </row>
    <row r="236" spans="1:12" ht="12.75">
      <c r="A236" s="3" t="s">
        <v>773</v>
      </c>
      <c r="B236" s="1" t="s">
        <v>836</v>
      </c>
      <c r="C236" s="1" t="s">
        <v>789</v>
      </c>
      <c r="D236" s="1" t="s">
        <v>131</v>
      </c>
      <c r="E236" s="6" t="str">
        <f>HYPERLINK("https://www.bioscidb.com/browse/deal_bg/14606","Link")</f>
        <v>Link</v>
      </c>
      <c r="F236" s="1" t="s">
        <v>27</v>
      </c>
      <c r="G236" s="16" t="s">
        <v>837</v>
      </c>
      <c r="H236" s="4">
        <v>60</v>
      </c>
      <c r="I236" s="4">
        <v>40</v>
      </c>
      <c r="J236" s="4" t="s">
        <v>14</v>
      </c>
      <c r="K236" s="20">
        <f>I236/H236</f>
        <v>0.6666666666666666</v>
      </c>
      <c r="L236" s="1" t="s">
        <v>14</v>
      </c>
    </row>
    <row r="237" spans="1:12" ht="12.75">
      <c r="A237" s="3" t="s">
        <v>722</v>
      </c>
      <c r="B237" s="1" t="s">
        <v>788</v>
      </c>
      <c r="C237" s="1" t="s">
        <v>789</v>
      </c>
      <c r="D237" s="1" t="s">
        <v>131</v>
      </c>
      <c r="E237" s="6" t="str">
        <f>HYPERLINK("https://www.bioscidb.com/browse/deal_bg/14350","Link")</f>
        <v>Link</v>
      </c>
      <c r="F237" s="1" t="s">
        <v>27</v>
      </c>
      <c r="G237" s="16" t="s">
        <v>30</v>
      </c>
      <c r="H237" s="4">
        <v>200</v>
      </c>
      <c r="I237" s="4">
        <v>135</v>
      </c>
      <c r="J237" s="4" t="s">
        <v>14</v>
      </c>
      <c r="K237" s="20">
        <f>I237/H237</f>
        <v>0.675</v>
      </c>
      <c r="L237" s="1" t="s">
        <v>14</v>
      </c>
    </row>
    <row r="238" spans="1:12" ht="12.75">
      <c r="A238" s="3" t="s">
        <v>722</v>
      </c>
      <c r="B238" s="1" t="s">
        <v>759</v>
      </c>
      <c r="C238" s="1" t="s">
        <v>760</v>
      </c>
      <c r="D238" s="1" t="s">
        <v>131</v>
      </c>
      <c r="E238" s="6" t="str">
        <f>HYPERLINK("https://www.bioscidb.com/browse/deal_bg/13852","Link")</f>
        <v>Link</v>
      </c>
      <c r="F238" s="1" t="s">
        <v>27</v>
      </c>
      <c r="G238" s="16" t="s">
        <v>761</v>
      </c>
      <c r="H238" s="4">
        <v>15</v>
      </c>
      <c r="I238" s="4">
        <v>0.4</v>
      </c>
      <c r="J238" s="4" t="s">
        <v>14</v>
      </c>
      <c r="K238" s="20">
        <f>I238/H238</f>
        <v>0.02666666666666667</v>
      </c>
      <c r="L238" s="1" t="s">
        <v>14</v>
      </c>
    </row>
    <row r="239" spans="1:12" ht="12.75">
      <c r="A239" s="3" t="s">
        <v>694</v>
      </c>
      <c r="B239" s="1" t="s">
        <v>695</v>
      </c>
      <c r="C239" s="1" t="s">
        <v>696</v>
      </c>
      <c r="D239" s="1" t="s">
        <v>131</v>
      </c>
      <c r="E239" s="6" t="str">
        <f>HYPERLINK("https://www.bioscidb.com/browse/deal_bg/13052","Link")</f>
        <v>Link</v>
      </c>
      <c r="F239" s="1" t="s">
        <v>27</v>
      </c>
      <c r="G239" s="16" t="s">
        <v>697</v>
      </c>
      <c r="H239" s="4">
        <v>216</v>
      </c>
      <c r="I239" s="4">
        <v>141</v>
      </c>
      <c r="J239" s="4" t="s">
        <v>14</v>
      </c>
      <c r="K239" s="20">
        <f>I239/H239</f>
        <v>0.6527777777777778</v>
      </c>
      <c r="L239" s="1" t="s">
        <v>698</v>
      </c>
    </row>
    <row r="240" spans="1:12" ht="12.75">
      <c r="A240" s="3" t="s">
        <v>623</v>
      </c>
      <c r="B240" s="1" t="s">
        <v>778</v>
      </c>
      <c r="C240" s="1" t="s">
        <v>779</v>
      </c>
      <c r="D240" s="1" t="s">
        <v>131</v>
      </c>
      <c r="E240" s="6" t="str">
        <f>HYPERLINK("https://www.bioscidb.com/browse/deal_bg/11427","Link")</f>
        <v>Link</v>
      </c>
      <c r="F240" s="1" t="s">
        <v>27</v>
      </c>
      <c r="G240" s="16" t="s">
        <v>82</v>
      </c>
      <c r="H240" s="4">
        <v>34</v>
      </c>
      <c r="I240" s="4">
        <v>20</v>
      </c>
      <c r="J240" s="4" t="s">
        <v>14</v>
      </c>
      <c r="K240" s="20">
        <f>I240/H240</f>
        <v>0.5882352941176471</v>
      </c>
      <c r="L240" s="1" t="s">
        <v>14</v>
      </c>
    </row>
    <row r="241" spans="1:12" ht="12.75">
      <c r="A241" s="3" t="s">
        <v>513</v>
      </c>
      <c r="B241" s="1" t="s">
        <v>794</v>
      </c>
      <c r="C241" s="1" t="s">
        <v>795</v>
      </c>
      <c r="D241" s="1" t="s">
        <v>131</v>
      </c>
      <c r="E241" s="6" t="str">
        <f>HYPERLINK("https://www.bioscidb.com/browse/deal_bg/7776","Link")</f>
        <v>Link</v>
      </c>
      <c r="F241" s="1" t="s">
        <v>15</v>
      </c>
      <c r="G241" s="16" t="s">
        <v>30</v>
      </c>
      <c r="H241" s="4">
        <v>410</v>
      </c>
      <c r="I241" s="4">
        <v>380</v>
      </c>
      <c r="J241" s="4" t="s">
        <v>14</v>
      </c>
      <c r="K241" s="20">
        <f>I241/H241</f>
        <v>0.926829268292683</v>
      </c>
      <c r="L241" s="1" t="s">
        <v>14</v>
      </c>
    </row>
    <row r="242" spans="1:12" ht="12.75">
      <c r="A242" s="3" t="s">
        <v>513</v>
      </c>
      <c r="B242" s="1" t="s">
        <v>526</v>
      </c>
      <c r="C242" s="1" t="s">
        <v>527</v>
      </c>
      <c r="D242" s="1" t="s">
        <v>131</v>
      </c>
      <c r="E242" s="6" t="str">
        <f>HYPERLINK("https://www.bioscidb.com/browse/deal_bg/7868","Link")</f>
        <v>Link</v>
      </c>
      <c r="F242" s="1" t="s">
        <v>27</v>
      </c>
      <c r="G242" s="16" t="s">
        <v>30</v>
      </c>
      <c r="H242" s="4">
        <v>14</v>
      </c>
      <c r="I242" s="4">
        <v>7</v>
      </c>
      <c r="J242" s="4" t="s">
        <v>14</v>
      </c>
      <c r="K242" s="20">
        <f>I242/H242</f>
        <v>0.5</v>
      </c>
      <c r="L242" s="1" t="s">
        <v>14</v>
      </c>
    </row>
    <row r="243" spans="1:12" ht="12.75">
      <c r="A243" s="3" t="s">
        <v>499</v>
      </c>
      <c r="B243" s="1" t="s">
        <v>505</v>
      </c>
      <c r="C243" s="1" t="s">
        <v>478</v>
      </c>
      <c r="D243" s="1" t="s">
        <v>131</v>
      </c>
      <c r="E243" s="6" t="str">
        <f>HYPERLINK("https://www.bioscidb.com/browse/deal_bg/6540","Link")</f>
        <v>Link</v>
      </c>
      <c r="F243" s="1" t="s">
        <v>27</v>
      </c>
      <c r="G243" s="16" t="s">
        <v>506</v>
      </c>
      <c r="H243" s="4">
        <v>189.3</v>
      </c>
      <c r="I243" s="4">
        <v>165</v>
      </c>
      <c r="J243" s="4" t="s">
        <v>14</v>
      </c>
      <c r="K243" s="20">
        <f>I243/H243</f>
        <v>0.8716323296354992</v>
      </c>
      <c r="L243" s="1" t="s">
        <v>507</v>
      </c>
    </row>
    <row r="244" spans="1:12" ht="12.75">
      <c r="A244" s="3" t="s">
        <v>416</v>
      </c>
      <c r="B244" s="1" t="s">
        <v>417</v>
      </c>
      <c r="C244" s="1" t="s">
        <v>418</v>
      </c>
      <c r="D244" s="1" t="s">
        <v>131</v>
      </c>
      <c r="E244" s="6" t="str">
        <f>HYPERLINK("https://www.bioscidb.com/browse/deal_bg/4203","Link")</f>
        <v>Link</v>
      </c>
      <c r="F244" s="1" t="s">
        <v>69</v>
      </c>
      <c r="G244" s="16" t="s">
        <v>30</v>
      </c>
      <c r="H244" s="4" t="s">
        <v>14</v>
      </c>
      <c r="I244" s="4" t="s">
        <v>14</v>
      </c>
      <c r="J244" s="4" t="s">
        <v>14</v>
      </c>
      <c r="K244" s="20"/>
      <c r="L244" s="1" t="s">
        <v>419</v>
      </c>
    </row>
    <row r="245" spans="1:12" ht="25.5">
      <c r="A245" s="3" t="s">
        <v>384</v>
      </c>
      <c r="B245" s="1" t="s">
        <v>930</v>
      </c>
      <c r="C245" s="1" t="s">
        <v>931</v>
      </c>
      <c r="D245" s="1" t="s">
        <v>131</v>
      </c>
      <c r="E245" s="6" t="str">
        <f>HYPERLINK("https://www.bioscidb.com/browse/deal_bg/2915","Link")</f>
        <v>Link</v>
      </c>
      <c r="F245" s="1" t="s">
        <v>15</v>
      </c>
      <c r="G245" s="16" t="s">
        <v>932</v>
      </c>
      <c r="H245" s="4">
        <v>42.9</v>
      </c>
      <c r="I245" s="4">
        <v>20.5</v>
      </c>
      <c r="J245" s="4">
        <v>4</v>
      </c>
      <c r="K245" s="20">
        <f>(I245+J245)/H245</f>
        <v>0.5710955710955711</v>
      </c>
      <c r="L245" s="1" t="s">
        <v>933</v>
      </c>
    </row>
    <row r="246" spans="1:12" ht="12.75">
      <c r="A246" s="3" t="s">
        <v>115</v>
      </c>
      <c r="B246" s="1" t="s">
        <v>132</v>
      </c>
      <c r="C246" s="1" t="s">
        <v>133</v>
      </c>
      <c r="D246" s="1" t="s">
        <v>131</v>
      </c>
      <c r="E246" s="6" t="str">
        <f>HYPERLINK("https://www.bioscidb.com/browse/deal_bg/1802","Link")</f>
        <v>Link</v>
      </c>
      <c r="F246" s="1" t="s">
        <v>69</v>
      </c>
      <c r="G246" s="16" t="s">
        <v>134</v>
      </c>
      <c r="H246" s="4">
        <v>110</v>
      </c>
      <c r="I246" s="4">
        <v>75</v>
      </c>
      <c r="J246" s="4">
        <v>15</v>
      </c>
      <c r="K246" s="20">
        <f>(I246+J246)/H246</f>
        <v>0.8181818181818182</v>
      </c>
      <c r="L246" s="1" t="s">
        <v>135</v>
      </c>
    </row>
    <row r="247" spans="1:12" ht="12.75">
      <c r="A247" s="3" t="s">
        <v>196</v>
      </c>
      <c r="B247" s="1" t="s">
        <v>197</v>
      </c>
      <c r="C247" s="1" t="s">
        <v>198</v>
      </c>
      <c r="D247" s="1" t="s">
        <v>131</v>
      </c>
      <c r="E247" s="6" t="str">
        <f>HYPERLINK("https://www.bioscidb.com/browse/deal_bg/6622","Link")</f>
        <v>Link</v>
      </c>
      <c r="F247" s="1" t="s">
        <v>27</v>
      </c>
      <c r="G247" s="16" t="s">
        <v>100</v>
      </c>
      <c r="H247" s="4">
        <v>380</v>
      </c>
      <c r="I247" s="4">
        <v>190</v>
      </c>
      <c r="J247" s="4" t="s">
        <v>14</v>
      </c>
      <c r="K247" s="20">
        <f>I247/H247</f>
        <v>0.5</v>
      </c>
      <c r="L247" s="1" t="s">
        <v>199</v>
      </c>
    </row>
    <row r="248" spans="1:12" ht="12.75">
      <c r="A248" s="3" t="s">
        <v>587</v>
      </c>
      <c r="B248" s="1" t="s">
        <v>588</v>
      </c>
      <c r="C248" s="1" t="s">
        <v>589</v>
      </c>
      <c r="D248" s="1" t="s">
        <v>131</v>
      </c>
      <c r="E248" s="6" t="str">
        <f>HYPERLINK("https://www.bioscidb.com/browse/deal_bg/9944","Link")</f>
        <v>Link</v>
      </c>
      <c r="F248" s="1" t="s">
        <v>15</v>
      </c>
      <c r="G248" s="16" t="s">
        <v>590</v>
      </c>
      <c r="H248" s="4">
        <v>17.5</v>
      </c>
      <c r="I248" s="4">
        <v>17.5</v>
      </c>
      <c r="J248" s="4" t="s">
        <v>14</v>
      </c>
      <c r="K248" s="20">
        <f>I248/H248</f>
        <v>1</v>
      </c>
      <c r="L248" s="1" t="s">
        <v>14</v>
      </c>
    </row>
    <row r="249" spans="1:12" ht="12.75">
      <c r="A249" s="3" t="s">
        <v>184</v>
      </c>
      <c r="B249" s="1" t="s">
        <v>185</v>
      </c>
      <c r="C249" s="1" t="s">
        <v>186</v>
      </c>
      <c r="D249" s="1" t="s">
        <v>131</v>
      </c>
      <c r="E249" s="6" t="str">
        <f>HYPERLINK("https://www.bioscidb.com/browse/deal_bg/7914","Link")</f>
        <v>Link</v>
      </c>
      <c r="F249" s="1" t="s">
        <v>27</v>
      </c>
      <c r="G249" s="16" t="s">
        <v>187</v>
      </c>
      <c r="H249" s="4">
        <v>117</v>
      </c>
      <c r="I249" s="4">
        <v>107</v>
      </c>
      <c r="J249" s="4" t="s">
        <v>14</v>
      </c>
      <c r="K249" s="20">
        <f>I249/H249</f>
        <v>0.9145299145299145</v>
      </c>
      <c r="L249" s="1" t="s">
        <v>188</v>
      </c>
    </row>
    <row r="250" spans="1:12" ht="12.75">
      <c r="A250" s="3" t="s">
        <v>294</v>
      </c>
      <c r="B250" s="1" t="s">
        <v>295</v>
      </c>
      <c r="C250" s="1" t="s">
        <v>296</v>
      </c>
      <c r="D250" s="1" t="s">
        <v>131</v>
      </c>
      <c r="E250" s="6" t="str">
        <f>HYPERLINK("https://www.bioscidb.com/browse/deal_bg/8020","Link")</f>
        <v>Link</v>
      </c>
      <c r="F250" s="1" t="s">
        <v>27</v>
      </c>
      <c r="G250" s="16" t="s">
        <v>30</v>
      </c>
      <c r="H250" s="4">
        <v>725</v>
      </c>
      <c r="I250" s="4">
        <v>525</v>
      </c>
      <c r="J250" s="4" t="s">
        <v>14</v>
      </c>
      <c r="K250" s="20">
        <f>I250/H250</f>
        <v>0.7241379310344828</v>
      </c>
      <c r="L250" s="1" t="s">
        <v>14</v>
      </c>
    </row>
    <row r="251" spans="1:12" ht="12.75">
      <c r="A251" s="3" t="s">
        <v>921</v>
      </c>
      <c r="B251" s="1" t="s">
        <v>922</v>
      </c>
      <c r="C251" s="1" t="s">
        <v>923</v>
      </c>
      <c r="D251" s="1" t="s">
        <v>280</v>
      </c>
      <c r="E251" s="6" t="str">
        <f>HYPERLINK("https://www.bioscidb.com/browse/deal_bg/15575","Link")</f>
        <v>Link</v>
      </c>
      <c r="F251" s="1" t="s">
        <v>45</v>
      </c>
      <c r="G251" s="16" t="s">
        <v>924</v>
      </c>
      <c r="H251" s="4">
        <v>60</v>
      </c>
      <c r="I251" s="4">
        <v>40</v>
      </c>
      <c r="J251" s="4">
        <v>10</v>
      </c>
      <c r="K251" s="20">
        <f>(I251+J251)/H251</f>
        <v>0.8333333333333334</v>
      </c>
      <c r="L251" s="1" t="s">
        <v>925</v>
      </c>
    </row>
    <row r="252" spans="1:12" ht="12.75">
      <c r="A252" s="3" t="s">
        <v>838</v>
      </c>
      <c r="B252" s="1" t="s">
        <v>845</v>
      </c>
      <c r="C252" s="1" t="s">
        <v>846</v>
      </c>
      <c r="D252" s="1" t="s">
        <v>280</v>
      </c>
      <c r="E252" s="6" t="str">
        <f>HYPERLINK("https://www.bioscidb.com/browse/deal_bg/14569","Link")</f>
        <v>Link</v>
      </c>
      <c r="F252" s="1" t="s">
        <v>45</v>
      </c>
      <c r="G252" s="16" t="s">
        <v>847</v>
      </c>
      <c r="H252" s="4">
        <v>120</v>
      </c>
      <c r="I252" s="4">
        <v>50</v>
      </c>
      <c r="J252" s="4" t="s">
        <v>14</v>
      </c>
      <c r="K252" s="20">
        <f>I252/H252</f>
        <v>0.4166666666666667</v>
      </c>
      <c r="L252" s="1" t="s">
        <v>848</v>
      </c>
    </row>
    <row r="253" spans="1:12" ht="12.75">
      <c r="A253" s="3" t="s">
        <v>790</v>
      </c>
      <c r="B253" s="1" t="s">
        <v>820</v>
      </c>
      <c r="C253" s="1" t="s">
        <v>821</v>
      </c>
      <c r="D253" s="1" t="s">
        <v>280</v>
      </c>
      <c r="E253" s="6" t="str">
        <f>HYPERLINK("https://www.bioscidb.com/browse/deal_bg/14434","Link")</f>
        <v>Link</v>
      </c>
      <c r="F253" s="1" t="s">
        <v>69</v>
      </c>
      <c r="G253" s="16" t="s">
        <v>30</v>
      </c>
      <c r="H253" s="4">
        <v>20.3</v>
      </c>
      <c r="I253" s="4">
        <v>10.3</v>
      </c>
      <c r="J253" s="4" t="s">
        <v>14</v>
      </c>
      <c r="K253" s="20">
        <f>I253/H253</f>
        <v>0.5073891625615764</v>
      </c>
      <c r="L253" s="1" t="s">
        <v>822</v>
      </c>
    </row>
    <row r="254" spans="1:12" ht="12.75">
      <c r="A254" s="3" t="s">
        <v>722</v>
      </c>
      <c r="B254" s="1" t="s">
        <v>753</v>
      </c>
      <c r="C254" s="1" t="s">
        <v>754</v>
      </c>
      <c r="D254" s="17" t="s">
        <v>280</v>
      </c>
      <c r="E254" s="6" t="str">
        <f>HYPERLINK("https://www.bioscidb.com/browse/deal_bg/14277","Link")</f>
        <v>Link</v>
      </c>
      <c r="F254" s="1" t="s">
        <v>69</v>
      </c>
      <c r="G254" s="16" t="s">
        <v>755</v>
      </c>
      <c r="H254" s="4">
        <v>61</v>
      </c>
      <c r="I254" s="4">
        <v>55</v>
      </c>
      <c r="J254" s="4" t="s">
        <v>14</v>
      </c>
      <c r="K254" s="20">
        <f>I254/H254</f>
        <v>0.9016393442622951</v>
      </c>
      <c r="L254" s="1" t="s">
        <v>756</v>
      </c>
    </row>
    <row r="255" spans="1:12" ht="12.75">
      <c r="A255" s="3" t="s">
        <v>667</v>
      </c>
      <c r="B255" s="1" t="s">
        <v>677</v>
      </c>
      <c r="C255" s="1" t="s">
        <v>678</v>
      </c>
      <c r="D255" s="1" t="s">
        <v>280</v>
      </c>
      <c r="E255" s="6" t="str">
        <f>HYPERLINK("https://www.bioscidb.com/browse/deal_bg/12649","Link")</f>
        <v>Link</v>
      </c>
      <c r="F255" s="1" t="s">
        <v>69</v>
      </c>
      <c r="G255" s="16" t="s">
        <v>30</v>
      </c>
      <c r="H255" s="4">
        <v>191</v>
      </c>
      <c r="I255" s="4">
        <v>147</v>
      </c>
      <c r="J255" s="4" t="s">
        <v>14</v>
      </c>
      <c r="K255" s="20">
        <f>I255/H255</f>
        <v>0.7696335078534031</v>
      </c>
      <c r="L255" s="1" t="s">
        <v>679</v>
      </c>
    </row>
    <row r="256" spans="1:12" ht="25.5">
      <c r="A256" s="3" t="s">
        <v>570</v>
      </c>
      <c r="B256" s="1" t="s">
        <v>597</v>
      </c>
      <c r="C256" s="1" t="s">
        <v>598</v>
      </c>
      <c r="D256" s="1" t="s">
        <v>280</v>
      </c>
      <c r="E256" s="6" t="str">
        <f>HYPERLINK("https://www.bioscidb.com/browse/deal_bg/9547","Link")</f>
        <v>Link</v>
      </c>
      <c r="F256" s="1" t="s">
        <v>27</v>
      </c>
      <c r="G256" s="16" t="s">
        <v>599</v>
      </c>
      <c r="H256" s="4">
        <v>150</v>
      </c>
      <c r="I256" s="4">
        <v>80</v>
      </c>
      <c r="J256" s="4" t="s">
        <v>14</v>
      </c>
      <c r="K256" s="20">
        <f>I256/H256</f>
        <v>0.5333333333333333</v>
      </c>
      <c r="L256" s="1" t="s">
        <v>600</v>
      </c>
    </row>
    <row r="257" spans="1:12" ht="12.75">
      <c r="A257" s="3" t="s">
        <v>560</v>
      </c>
      <c r="B257" s="1" t="s">
        <v>561</v>
      </c>
      <c r="C257" s="1" t="s">
        <v>562</v>
      </c>
      <c r="D257" s="1" t="s">
        <v>280</v>
      </c>
      <c r="E257" s="6" t="str">
        <f>HYPERLINK("https://www.bioscidb.com/browse/deal_bg/9726","Link")</f>
        <v>Link</v>
      </c>
      <c r="F257" s="1" t="s">
        <v>69</v>
      </c>
      <c r="G257" s="16" t="s">
        <v>30</v>
      </c>
      <c r="H257" s="4">
        <v>12</v>
      </c>
      <c r="I257" s="4">
        <v>6</v>
      </c>
      <c r="J257" s="4" t="s">
        <v>14</v>
      </c>
      <c r="K257" s="20">
        <f>I257/H257</f>
        <v>0.5</v>
      </c>
      <c r="L257" s="1" t="s">
        <v>14</v>
      </c>
    </row>
    <row r="258" spans="1:12" ht="12.75">
      <c r="A258" s="3" t="s">
        <v>528</v>
      </c>
      <c r="B258" s="1" t="s">
        <v>529</v>
      </c>
      <c r="C258" s="1" t="s">
        <v>530</v>
      </c>
      <c r="D258" s="1" t="s">
        <v>280</v>
      </c>
      <c r="E258" s="6" t="str">
        <f>HYPERLINK("https://www.bioscidb.com/browse/deal_bg/8723","Link")</f>
        <v>Link</v>
      </c>
      <c r="F258" s="1" t="s">
        <v>69</v>
      </c>
      <c r="G258" s="16" t="s">
        <v>30</v>
      </c>
      <c r="H258" s="4">
        <v>200</v>
      </c>
      <c r="I258" s="4">
        <v>110</v>
      </c>
      <c r="J258" s="4" t="s">
        <v>14</v>
      </c>
      <c r="K258" s="20">
        <f>I258/H258</f>
        <v>0.55</v>
      </c>
      <c r="L258" s="1" t="s">
        <v>531</v>
      </c>
    </row>
    <row r="259" spans="1:12" ht="12.75">
      <c r="A259" s="3" t="s">
        <v>473</v>
      </c>
      <c r="B259" s="1" t="s">
        <v>474</v>
      </c>
      <c r="C259" s="1" t="s">
        <v>475</v>
      </c>
      <c r="D259" s="1" t="s">
        <v>280</v>
      </c>
      <c r="E259" s="6" t="str">
        <f>HYPERLINK("https://www.bioscidb.com/browse/deal_bg/6296","Link")</f>
        <v>Link</v>
      </c>
      <c r="F259" s="1" t="s">
        <v>69</v>
      </c>
      <c r="G259" s="16" t="s">
        <v>30</v>
      </c>
      <c r="H259" s="4">
        <v>425</v>
      </c>
      <c r="I259" s="4">
        <v>190</v>
      </c>
      <c r="J259" s="4" t="s">
        <v>14</v>
      </c>
      <c r="K259" s="20">
        <f>I259/H259</f>
        <v>0.4470588235294118</v>
      </c>
      <c r="L259" s="1" t="s">
        <v>476</v>
      </c>
    </row>
    <row r="260" spans="1:12" ht="12.75">
      <c r="A260" s="3" t="s">
        <v>351</v>
      </c>
      <c r="B260" s="1" t="s">
        <v>352</v>
      </c>
      <c r="C260" s="1" t="s">
        <v>353</v>
      </c>
      <c r="D260" s="1" t="s">
        <v>280</v>
      </c>
      <c r="E260" s="6" t="str">
        <f>HYPERLINK("https://www.bioscidb.com/browse/deal_bg/4038","Link")</f>
        <v>Link</v>
      </c>
      <c r="F260" s="1" t="s">
        <v>45</v>
      </c>
      <c r="G260" s="16" t="s">
        <v>30</v>
      </c>
      <c r="H260" s="4">
        <v>450</v>
      </c>
      <c r="I260" s="4">
        <v>350</v>
      </c>
      <c r="J260" s="4" t="s">
        <v>14</v>
      </c>
      <c r="K260" s="20">
        <f>I260/H260</f>
        <v>0.7777777777777778</v>
      </c>
      <c r="L260" s="1" t="s">
        <v>354</v>
      </c>
    </row>
    <row r="261" spans="1:12" ht="12.75">
      <c r="A261" s="3" t="s">
        <v>387</v>
      </c>
      <c r="B261" s="1" t="s">
        <v>388</v>
      </c>
      <c r="C261" s="1" t="s">
        <v>389</v>
      </c>
      <c r="D261" s="1" t="s">
        <v>280</v>
      </c>
      <c r="E261" s="6" t="str">
        <f>HYPERLINK("https://www.bioscidb.com/browse/deal_bg/3898","Link")</f>
        <v>Link</v>
      </c>
      <c r="F261" s="1" t="s">
        <v>27</v>
      </c>
      <c r="G261" s="16" t="s">
        <v>30</v>
      </c>
      <c r="H261" s="4">
        <v>925</v>
      </c>
      <c r="I261" s="4">
        <v>900</v>
      </c>
      <c r="J261" s="4" t="s">
        <v>14</v>
      </c>
      <c r="K261" s="20">
        <f>I261/H261</f>
        <v>0.972972972972973</v>
      </c>
      <c r="L261" s="1" t="s">
        <v>390</v>
      </c>
    </row>
    <row r="262" spans="1:12" ht="12.75">
      <c r="A262" s="3" t="s">
        <v>281</v>
      </c>
      <c r="B262" s="1" t="s">
        <v>282</v>
      </c>
      <c r="C262" s="1" t="s">
        <v>283</v>
      </c>
      <c r="D262" s="1" t="s">
        <v>280</v>
      </c>
      <c r="E262" s="6" t="str">
        <f>HYPERLINK("https://www.bioscidb.com/browse/deal_bg/1353","Link")</f>
        <v>Link</v>
      </c>
      <c r="F262" s="1" t="s">
        <v>27</v>
      </c>
      <c r="G262" s="16" t="s">
        <v>284</v>
      </c>
      <c r="H262" s="4" t="s">
        <v>14</v>
      </c>
      <c r="I262" s="4" t="s">
        <v>14</v>
      </c>
      <c r="J262" s="4" t="s">
        <v>14</v>
      </c>
      <c r="K262" s="20"/>
      <c r="L262" s="1" t="s">
        <v>14</v>
      </c>
    </row>
    <row r="263" spans="1:12" ht="12.75">
      <c r="A263" s="3" t="s">
        <v>865</v>
      </c>
      <c r="B263" s="1" t="s">
        <v>874</v>
      </c>
      <c r="C263" s="1" t="s">
        <v>875</v>
      </c>
      <c r="D263" s="1" t="s">
        <v>25</v>
      </c>
      <c r="E263" s="6" t="str">
        <f>HYPERLINK("https://www.bioscidb.com/browse/deal_bg/14887","Link")</f>
        <v>Link</v>
      </c>
      <c r="F263" s="1" t="s">
        <v>27</v>
      </c>
      <c r="G263" s="16" t="s">
        <v>30</v>
      </c>
      <c r="H263" s="4">
        <v>56.25</v>
      </c>
      <c r="I263" s="4">
        <v>2.5</v>
      </c>
      <c r="J263" s="4" t="s">
        <v>14</v>
      </c>
      <c r="K263" s="20">
        <f>I263/H263</f>
        <v>0.044444444444444446</v>
      </c>
      <c r="L263" s="1" t="s">
        <v>876</v>
      </c>
    </row>
    <row r="264" spans="1:12" ht="25.5">
      <c r="A264" s="3" t="s">
        <v>540</v>
      </c>
      <c r="B264" s="1" t="s">
        <v>487</v>
      </c>
      <c r="C264" s="1" t="s">
        <v>488</v>
      </c>
      <c r="D264" s="17" t="s">
        <v>25</v>
      </c>
      <c r="E264" s="6" t="str">
        <f>HYPERLINK("https://www.bioscidb.com/browse/deal_bg/9127","Link")</f>
        <v>Link</v>
      </c>
      <c r="F264" s="1" t="s">
        <v>45</v>
      </c>
      <c r="G264" s="16" t="s">
        <v>552</v>
      </c>
      <c r="H264" s="4">
        <v>59</v>
      </c>
      <c r="I264" s="4">
        <v>0.5</v>
      </c>
      <c r="J264" s="4" t="s">
        <v>14</v>
      </c>
      <c r="K264" s="20">
        <f>I264/H264</f>
        <v>0.00847457627118644</v>
      </c>
      <c r="L264" s="1" t="s">
        <v>553</v>
      </c>
    </row>
    <row r="265" spans="1:12" ht="12.75">
      <c r="A265" s="3" t="s">
        <v>149</v>
      </c>
      <c r="B265" s="1" t="s">
        <v>194</v>
      </c>
      <c r="C265" s="1" t="s">
        <v>195</v>
      </c>
      <c r="D265" s="17" t="s">
        <v>25</v>
      </c>
      <c r="E265" s="6" t="str">
        <f>HYPERLINK("https://www.bioscidb.com/browse/deal_bg/1120","Link")</f>
        <v>Link</v>
      </c>
      <c r="F265" s="1" t="s">
        <v>45</v>
      </c>
      <c r="G265" s="16" t="s">
        <v>30</v>
      </c>
      <c r="H265" s="4">
        <v>133.3</v>
      </c>
      <c r="I265" s="4">
        <v>10.3</v>
      </c>
      <c r="J265" s="4" t="s">
        <v>14</v>
      </c>
      <c r="K265" s="20">
        <f>I265/H265</f>
        <v>0.07726931732933233</v>
      </c>
      <c r="L265" s="1" t="s">
        <v>14</v>
      </c>
    </row>
    <row r="266" spans="1:12" ht="12.75">
      <c r="A266" s="3" t="s">
        <v>26</v>
      </c>
      <c r="B266" s="1" t="s">
        <v>28</v>
      </c>
      <c r="C266" s="1" t="s">
        <v>29</v>
      </c>
      <c r="D266" s="1" t="s">
        <v>25</v>
      </c>
      <c r="E266" s="6" t="str">
        <f>HYPERLINK("https://www.bioscidb.com/browse/deal_bg/286","Link")</f>
        <v>Link</v>
      </c>
      <c r="F266" s="1" t="s">
        <v>27</v>
      </c>
      <c r="G266" s="16" t="s">
        <v>30</v>
      </c>
      <c r="H266" s="4">
        <v>41.4</v>
      </c>
      <c r="I266" s="4">
        <v>35.9</v>
      </c>
      <c r="J266" s="4" t="s">
        <v>14</v>
      </c>
      <c r="K266" s="20">
        <f>I266/H266</f>
        <v>0.8671497584541062</v>
      </c>
      <c r="L266" s="1" t="s">
        <v>31</v>
      </c>
    </row>
    <row r="267" spans="1:12" ht="12.75">
      <c r="A267" s="3" t="s">
        <v>277</v>
      </c>
      <c r="B267" s="1" t="s">
        <v>833</v>
      </c>
      <c r="C267" s="1" t="s">
        <v>120</v>
      </c>
      <c r="D267" s="1" t="s">
        <v>25</v>
      </c>
      <c r="E267" s="6" t="str">
        <f>HYPERLINK("https://www.bioscidb.com/browse/deal_bg/1753","Link")</f>
        <v>Link</v>
      </c>
      <c r="F267" s="1" t="s">
        <v>15</v>
      </c>
      <c r="G267" s="16" t="s">
        <v>834</v>
      </c>
      <c r="H267" s="4">
        <v>115</v>
      </c>
      <c r="I267" s="4">
        <v>115</v>
      </c>
      <c r="J267" s="4" t="s">
        <v>14</v>
      </c>
      <c r="K267" s="20"/>
      <c r="L267" s="1" t="s">
        <v>835</v>
      </c>
    </row>
    <row r="268" spans="1:12" ht="12.75">
      <c r="A268" s="3" t="s">
        <v>343</v>
      </c>
      <c r="B268" s="1" t="s">
        <v>344</v>
      </c>
      <c r="C268" s="1" t="s">
        <v>192</v>
      </c>
      <c r="D268" s="1" t="s">
        <v>25</v>
      </c>
      <c r="E268" s="6" t="str">
        <f>HYPERLINK("https://www.bioscidb.com/browse/deal_bg/8030","Link")</f>
        <v>Link</v>
      </c>
      <c r="F268" s="1" t="s">
        <v>15</v>
      </c>
      <c r="G268" s="16" t="s">
        <v>345</v>
      </c>
      <c r="H268" s="4">
        <v>8</v>
      </c>
      <c r="I268" s="4">
        <v>4</v>
      </c>
      <c r="J268" s="4" t="s">
        <v>14</v>
      </c>
      <c r="K268" s="20">
        <f>I268/H268</f>
        <v>0.5</v>
      </c>
      <c r="L268" s="1" t="s">
        <v>14</v>
      </c>
    </row>
    <row r="269" spans="1:12" ht="12.75">
      <c r="A269" s="3" t="s">
        <v>973</v>
      </c>
      <c r="B269" s="1" t="s">
        <v>974</v>
      </c>
      <c r="C269" s="1" t="s">
        <v>975</v>
      </c>
      <c r="D269" s="17" t="s">
        <v>33</v>
      </c>
      <c r="E269" s="6" t="str">
        <f>HYPERLINK("https://www.bioscidb.com/browse/deal_bg/15976","Link")</f>
        <v>Link</v>
      </c>
      <c r="F269" s="1" t="s">
        <v>27</v>
      </c>
      <c r="G269" s="16" t="s">
        <v>30</v>
      </c>
      <c r="H269" s="4">
        <v>200</v>
      </c>
      <c r="I269" s="4">
        <v>190</v>
      </c>
      <c r="J269" s="4" t="s">
        <v>14</v>
      </c>
      <c r="K269" s="20">
        <f>I269/H269</f>
        <v>0.95</v>
      </c>
      <c r="L269" s="1" t="s">
        <v>14</v>
      </c>
    </row>
    <row r="270" spans="1:12" ht="12.75">
      <c r="A270" s="3" t="s">
        <v>838</v>
      </c>
      <c r="B270" s="1" t="s">
        <v>839</v>
      </c>
      <c r="C270" s="1" t="s">
        <v>840</v>
      </c>
      <c r="D270" s="17" t="s">
        <v>33</v>
      </c>
      <c r="E270" s="6" t="str">
        <f>HYPERLINK("https://www.bioscidb.com/browse/deal_bg/14554","Link")</f>
        <v>Link</v>
      </c>
      <c r="F270" s="1" t="s">
        <v>27</v>
      </c>
      <c r="G270" s="16" t="s">
        <v>482</v>
      </c>
      <c r="H270" s="4">
        <v>245</v>
      </c>
      <c r="I270" s="4" t="s">
        <v>14</v>
      </c>
      <c r="J270" s="4">
        <v>232.75</v>
      </c>
      <c r="K270" s="20">
        <f>J270/H270</f>
        <v>0.95</v>
      </c>
      <c r="L270" s="1" t="s">
        <v>841</v>
      </c>
    </row>
    <row r="271" spans="1:12" ht="12.75">
      <c r="A271" s="3" t="s">
        <v>757</v>
      </c>
      <c r="B271" s="1" t="s">
        <v>818</v>
      </c>
      <c r="C271" s="1" t="s">
        <v>815</v>
      </c>
      <c r="D271" s="17" t="s">
        <v>33</v>
      </c>
      <c r="E271" s="6" t="str">
        <f>HYPERLINK("https://www.bioscidb.com/browse/deal_bg/14421","Link")</f>
        <v>Link</v>
      </c>
      <c r="F271" s="1" t="s">
        <v>27</v>
      </c>
      <c r="G271" s="16" t="s">
        <v>100</v>
      </c>
      <c r="H271" s="4">
        <v>319</v>
      </c>
      <c r="I271" s="4">
        <v>282</v>
      </c>
      <c r="J271" s="4" t="s">
        <v>14</v>
      </c>
      <c r="K271" s="20">
        <f>I271/H271</f>
        <v>0.8840125391849529</v>
      </c>
      <c r="L271" s="1" t="s">
        <v>819</v>
      </c>
    </row>
    <row r="272" spans="1:12" ht="12.75">
      <c r="A272" s="3" t="s">
        <v>757</v>
      </c>
      <c r="B272" s="1" t="s">
        <v>814</v>
      </c>
      <c r="C272" s="1" t="s">
        <v>815</v>
      </c>
      <c r="D272" s="17" t="s">
        <v>33</v>
      </c>
      <c r="E272" s="6" t="str">
        <f>HYPERLINK("https://www.bioscidb.com/browse/deal_bg/14141","Link")</f>
        <v>Link</v>
      </c>
      <c r="F272" s="1" t="s">
        <v>27</v>
      </c>
      <c r="G272" s="16" t="s">
        <v>100</v>
      </c>
      <c r="H272" s="4">
        <v>53.4</v>
      </c>
      <c r="I272" s="4">
        <v>26.7</v>
      </c>
      <c r="J272" s="4" t="s">
        <v>14</v>
      </c>
      <c r="K272" s="20">
        <f>I272/H272</f>
        <v>0.5</v>
      </c>
      <c r="L272" s="1" t="s">
        <v>816</v>
      </c>
    </row>
    <row r="273" spans="1:12" ht="25.5">
      <c r="A273" s="3" t="s">
        <v>447</v>
      </c>
      <c r="B273" s="1" t="s">
        <v>448</v>
      </c>
      <c r="C273" s="1" t="s">
        <v>449</v>
      </c>
      <c r="D273" s="1" t="s">
        <v>33</v>
      </c>
      <c r="E273" s="6" t="str">
        <f>HYPERLINK("https://www.bioscidb.com/browse/deal_bg/2273","Link")</f>
        <v>Link</v>
      </c>
      <c r="F273" s="1" t="s">
        <v>27</v>
      </c>
      <c r="G273" s="16" t="s">
        <v>450</v>
      </c>
      <c r="H273" s="4">
        <v>186</v>
      </c>
      <c r="I273" s="4">
        <v>179</v>
      </c>
      <c r="J273" s="4" t="s">
        <v>14</v>
      </c>
      <c r="K273" s="20">
        <f>I273/H273</f>
        <v>0.9623655913978495</v>
      </c>
      <c r="L273" s="1" t="s">
        <v>451</v>
      </c>
    </row>
    <row r="274" spans="1:12" ht="12.75">
      <c r="A274" s="3" t="s">
        <v>224</v>
      </c>
      <c r="B274" s="1" t="s">
        <v>347</v>
      </c>
      <c r="C274" s="1" t="s">
        <v>348</v>
      </c>
      <c r="D274" s="1" t="s">
        <v>33</v>
      </c>
      <c r="E274" s="6" t="str">
        <f>HYPERLINK("https://www.bioscidb.com/browse/deal_bg/6836","Link")</f>
        <v>Link</v>
      </c>
      <c r="F274" s="1" t="s">
        <v>45</v>
      </c>
      <c r="G274" s="16" t="s">
        <v>349</v>
      </c>
      <c r="H274" s="4">
        <v>92</v>
      </c>
      <c r="I274" s="4">
        <v>46</v>
      </c>
      <c r="J274" s="4" t="s">
        <v>14</v>
      </c>
      <c r="K274" s="20">
        <f>I274/H274</f>
        <v>0.5</v>
      </c>
      <c r="L274" s="1" t="s">
        <v>350</v>
      </c>
    </row>
    <row r="276" spans="4:9" ht="12.75">
      <c r="D276" s="2"/>
      <c r="G276" s="18"/>
      <c r="H276" s="2"/>
      <c r="I276" s="2"/>
    </row>
    <row r="277" spans="4:9" ht="12.75">
      <c r="D277" s="2"/>
      <c r="G277" s="18"/>
      <c r="H277" s="2"/>
      <c r="I277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4"/>
  <sheetViews>
    <sheetView zoomScalePageLayoutView="0" workbookViewId="0" topLeftCell="O1">
      <pane ySplit="1" topLeftCell="A56" activePane="bottomLeft" state="frozen"/>
      <selection pane="topLeft" activeCell="G1" sqref="G1"/>
      <selection pane="bottomLeft" activeCell="V117" sqref="V117"/>
    </sheetView>
  </sheetViews>
  <sheetFormatPr defaultColWidth="9.140625" defaultRowHeight="12.75"/>
  <cols>
    <col min="1" max="1" width="15.7109375" style="0" customWidth="1"/>
    <col min="2" max="2" width="28.7109375" style="0" customWidth="1"/>
    <col min="3" max="3" width="29.28125" style="0" customWidth="1"/>
    <col min="4" max="4" width="14.7109375" style="0" customWidth="1"/>
    <col min="5" max="5" width="15.7109375" style="7" customWidth="1"/>
    <col min="6" max="6" width="20.7109375" style="0" customWidth="1"/>
    <col min="7" max="7" width="60.7109375" style="15" customWidth="1"/>
    <col min="8" max="9" width="15.7109375" style="0" customWidth="1"/>
    <col min="10" max="10" width="14.421875" style="0" customWidth="1"/>
    <col min="11" max="11" width="14.421875" style="21" customWidth="1"/>
    <col min="12" max="12" width="11.421875" style="7" customWidth="1"/>
    <col min="13" max="17" width="15.7109375" style="0" customWidth="1"/>
    <col min="18" max="18" width="12.140625" style="0" customWidth="1"/>
    <col min="19" max="19" width="17.28125" style="0" customWidth="1"/>
    <col min="20" max="20" width="22.28125" style="28" customWidth="1"/>
    <col min="21" max="21" width="11.7109375" style="0" customWidth="1"/>
    <col min="22" max="22" width="17.7109375" style="11" customWidth="1"/>
    <col min="23" max="23" width="15.7109375" style="0" customWidth="1"/>
    <col min="24" max="24" width="21.421875" style="0" customWidth="1"/>
    <col min="25" max="25" width="21.140625" style="0" customWidth="1"/>
    <col min="26" max="26" width="28.8515625" style="0" customWidth="1"/>
    <col min="27" max="27" width="27.7109375" style="0" customWidth="1"/>
    <col min="28" max="28" width="60.7109375" style="0" customWidth="1"/>
  </cols>
  <sheetData>
    <row r="1" spans="1:28" ht="38.25">
      <c r="A1" s="12" t="s">
        <v>2</v>
      </c>
      <c r="B1" s="13" t="s">
        <v>979</v>
      </c>
      <c r="C1" s="13" t="s">
        <v>977</v>
      </c>
      <c r="D1" s="13" t="s">
        <v>990</v>
      </c>
      <c r="E1" s="12" t="s">
        <v>0</v>
      </c>
      <c r="F1" s="14" t="s">
        <v>3</v>
      </c>
      <c r="G1" s="14" t="s">
        <v>4</v>
      </c>
      <c r="H1" s="14" t="s">
        <v>1</v>
      </c>
      <c r="I1" s="14" t="s">
        <v>6</v>
      </c>
      <c r="J1" s="14" t="s">
        <v>7</v>
      </c>
      <c r="K1" s="19" t="s">
        <v>989</v>
      </c>
      <c r="L1" s="12" t="s">
        <v>5</v>
      </c>
      <c r="M1" s="14" t="s">
        <v>981</v>
      </c>
      <c r="N1" s="13" t="s">
        <v>983</v>
      </c>
      <c r="O1" s="14" t="s">
        <v>980</v>
      </c>
      <c r="P1" s="13" t="s">
        <v>982</v>
      </c>
      <c r="Q1" s="14" t="s">
        <v>8</v>
      </c>
      <c r="R1" s="13" t="s">
        <v>984</v>
      </c>
      <c r="S1" s="14" t="s">
        <v>9</v>
      </c>
      <c r="T1" s="24" t="s">
        <v>999</v>
      </c>
      <c r="U1" s="13" t="s">
        <v>985</v>
      </c>
      <c r="V1" s="22" t="s">
        <v>991</v>
      </c>
      <c r="W1" s="13" t="s">
        <v>992</v>
      </c>
      <c r="X1" s="13" t="s">
        <v>978</v>
      </c>
      <c r="Y1" s="13" t="s">
        <v>976</v>
      </c>
      <c r="Z1" s="14" t="s">
        <v>11</v>
      </c>
      <c r="AA1" s="14" t="s">
        <v>12</v>
      </c>
      <c r="AB1" s="14" t="s">
        <v>10</v>
      </c>
    </row>
    <row r="2" spans="1:28" ht="12.75">
      <c r="A2" s="3" t="s">
        <v>891</v>
      </c>
      <c r="B2" s="1" t="s">
        <v>226</v>
      </c>
      <c r="C2" s="1" t="s">
        <v>970</v>
      </c>
      <c r="D2" s="1" t="s">
        <v>56</v>
      </c>
      <c r="E2" s="6" t="str">
        <f>HYPERLINK("https://www.bioscidb.com/browse/deal_bg/15179","Link")</f>
        <v>Link</v>
      </c>
      <c r="F2" s="1" t="s">
        <v>27</v>
      </c>
      <c r="G2" s="16" t="s">
        <v>971</v>
      </c>
      <c r="H2" s="4" t="s">
        <v>14</v>
      </c>
      <c r="I2" s="4" t="s">
        <v>14</v>
      </c>
      <c r="J2" s="4" t="s">
        <v>14</v>
      </c>
      <c r="K2" s="20"/>
      <c r="L2" s="5" t="s">
        <v>19</v>
      </c>
      <c r="M2" s="4" t="s">
        <v>14</v>
      </c>
      <c r="N2" s="4"/>
      <c r="O2" s="4" t="s">
        <v>14</v>
      </c>
      <c r="P2" s="4"/>
      <c r="Q2" s="4" t="s">
        <v>14</v>
      </c>
      <c r="R2" s="6" t="str">
        <f>HYPERLINK("https://www.bioscidb.com/tag/gettag/bc78e9b7-7af7-452c-a470-851413375870","Tag")</f>
        <v>Tag</v>
      </c>
      <c r="S2" s="4" t="s">
        <v>14</v>
      </c>
      <c r="T2" s="26" t="s">
        <v>1001</v>
      </c>
      <c r="U2" s="6" t="str">
        <f>HYPERLINK("https://www.bioscidb.com/tag/gettag/55f10157-3fa9-4873-ae31-b468ca5e5471","Tag")</f>
        <v>Tag</v>
      </c>
      <c r="V2" s="9">
        <v>4</v>
      </c>
      <c r="W2" s="6" t="str">
        <f>HYPERLINK("https://www.bioscidb.com/tag/gettag/f43c444e-f017-441c-a901-4671e411c006","Tag")</f>
        <v>Tag</v>
      </c>
      <c r="X2" s="1" t="s">
        <v>14</v>
      </c>
      <c r="Y2" s="1" t="s">
        <v>14</v>
      </c>
      <c r="Z2" s="1" t="s">
        <v>55</v>
      </c>
      <c r="AA2" s="1" t="s">
        <v>22</v>
      </c>
      <c r="AB2" s="1" t="s">
        <v>972</v>
      </c>
    </row>
    <row r="3" spans="1:28" ht="25.5">
      <c r="A3" s="3" t="s">
        <v>869</v>
      </c>
      <c r="B3" s="1" t="s">
        <v>870</v>
      </c>
      <c r="C3" s="1" t="s">
        <v>871</v>
      </c>
      <c r="D3" s="17" t="s">
        <v>50</v>
      </c>
      <c r="E3" s="6" t="str">
        <f>HYPERLINK("https://www.bioscidb.com/browse/deal_bg/15413","Link")</f>
        <v>Link</v>
      </c>
      <c r="F3" s="1" t="s">
        <v>27</v>
      </c>
      <c r="G3" s="16" t="s">
        <v>872</v>
      </c>
      <c r="H3" s="4" t="s">
        <v>14</v>
      </c>
      <c r="I3" s="4" t="s">
        <v>14</v>
      </c>
      <c r="J3" s="4" t="s">
        <v>14</v>
      </c>
      <c r="K3" s="20"/>
      <c r="L3" s="5" t="s">
        <v>19</v>
      </c>
      <c r="M3" s="4" t="s">
        <v>14</v>
      </c>
      <c r="N3" s="4"/>
      <c r="O3" s="4" t="s">
        <v>14</v>
      </c>
      <c r="P3" s="6" t="str">
        <f>HYPERLINK("https://www.bioscidb.com/tag/gettag/e48ed99b-85f1-4fa9-9860-9d5b9278338d","Tag")</f>
        <v>Tag</v>
      </c>
      <c r="Q3" s="4" t="s">
        <v>14</v>
      </c>
      <c r="R3" s="4"/>
      <c r="S3" s="4" t="s">
        <v>14</v>
      </c>
      <c r="T3" s="27"/>
      <c r="U3" s="4"/>
      <c r="V3" s="8">
        <v>15</v>
      </c>
      <c r="W3" s="6" t="str">
        <f>HYPERLINK("https://www.bioscidb.com/tag/gettag/45ac4440-d852-4cfd-a108-4f72303245ad","Tag")</f>
        <v>Tag</v>
      </c>
      <c r="X3" s="1" t="s">
        <v>211</v>
      </c>
      <c r="Y3" s="1" t="s">
        <v>14</v>
      </c>
      <c r="Z3" s="1" t="s">
        <v>139</v>
      </c>
      <c r="AA3" s="1" t="s">
        <v>14</v>
      </c>
      <c r="AB3" s="1" t="s">
        <v>873</v>
      </c>
    </row>
    <row r="4" spans="1:28" ht="12.75">
      <c r="A4" s="3" t="s">
        <v>617</v>
      </c>
      <c r="B4" s="1" t="s">
        <v>618</v>
      </c>
      <c r="C4" s="1" t="s">
        <v>619</v>
      </c>
      <c r="D4" s="1" t="s">
        <v>43</v>
      </c>
      <c r="E4" s="6" t="str">
        <f>HYPERLINK("https://www.bioscidb.com/browse/deal_bg/15223","Link")</f>
        <v>Link</v>
      </c>
      <c r="F4" s="1" t="s">
        <v>27</v>
      </c>
      <c r="G4" s="16" t="s">
        <v>620</v>
      </c>
      <c r="H4" s="4" t="s">
        <v>14</v>
      </c>
      <c r="I4" s="4" t="s">
        <v>14</v>
      </c>
      <c r="J4" s="4" t="s">
        <v>14</v>
      </c>
      <c r="K4" s="20"/>
      <c r="L4" s="5" t="s">
        <v>19</v>
      </c>
      <c r="M4" s="4" t="s">
        <v>14</v>
      </c>
      <c r="N4" s="6" t="str">
        <f>HYPERLINK("https://www.bioscidb.com/tag/gettag/593e0215-9e89-4ae8-93c0-7c924364fde9","Tag")</f>
        <v>Tag</v>
      </c>
      <c r="O4" s="4" t="s">
        <v>14</v>
      </c>
      <c r="P4" s="4"/>
      <c r="Q4" s="4" t="s">
        <v>14</v>
      </c>
      <c r="R4" s="6" t="str">
        <f>HYPERLINK("https://www.bioscidb.com/tag/gettag/3cedb085-044b-4b6d-bbef-88c9f2ce07b9","Tag")</f>
        <v>Tag</v>
      </c>
      <c r="S4" s="4" t="s">
        <v>14</v>
      </c>
      <c r="T4" s="27"/>
      <c r="U4" s="4"/>
      <c r="V4" s="8"/>
      <c r="W4" s="4"/>
      <c r="X4" s="1" t="s">
        <v>14</v>
      </c>
      <c r="Y4" s="1" t="s">
        <v>211</v>
      </c>
      <c r="Z4" s="1" t="s">
        <v>55</v>
      </c>
      <c r="AA4" s="1" t="s">
        <v>14</v>
      </c>
      <c r="AB4" s="1" t="s">
        <v>14</v>
      </c>
    </row>
    <row r="5" spans="1:28" ht="12.75">
      <c r="A5" s="3" t="s">
        <v>763</v>
      </c>
      <c r="B5" s="1" t="s">
        <v>764</v>
      </c>
      <c r="C5" s="1" t="s">
        <v>765</v>
      </c>
      <c r="D5" s="1" t="s">
        <v>56</v>
      </c>
      <c r="E5" s="6" t="str">
        <f>HYPERLINK("https://www.bioscidb.com/browse/deal_bg/14422","Link")</f>
        <v>Link</v>
      </c>
      <c r="F5" s="1" t="s">
        <v>15</v>
      </c>
      <c r="G5" s="16" t="s">
        <v>766</v>
      </c>
      <c r="H5" s="4" t="s">
        <v>14</v>
      </c>
      <c r="I5" s="4" t="s">
        <v>14</v>
      </c>
      <c r="J5" s="4" t="s">
        <v>14</v>
      </c>
      <c r="K5" s="20"/>
      <c r="L5" s="5" t="s">
        <v>19</v>
      </c>
      <c r="M5" s="4" t="s">
        <v>14</v>
      </c>
      <c r="N5" s="4"/>
      <c r="O5" s="4" t="s">
        <v>14</v>
      </c>
      <c r="P5" s="4"/>
      <c r="Q5" s="4" t="s">
        <v>14</v>
      </c>
      <c r="R5" s="4"/>
      <c r="S5" s="4">
        <v>12</v>
      </c>
      <c r="T5" s="27"/>
      <c r="U5" s="4"/>
      <c r="V5" s="8">
        <v>7</v>
      </c>
      <c r="W5" s="6" t="str">
        <f>HYPERLINK("https://www.bioscidb.com/tag/gettag/43e21691-1aa6-453d-b99b-4b4669625b06","Tag")</f>
        <v>Tag</v>
      </c>
      <c r="X5" s="1" t="s">
        <v>14</v>
      </c>
      <c r="Y5" s="1" t="s">
        <v>14</v>
      </c>
      <c r="Z5" s="1" t="s">
        <v>378</v>
      </c>
      <c r="AA5" s="1" t="s">
        <v>178</v>
      </c>
      <c r="AB5" s="1" t="s">
        <v>14</v>
      </c>
    </row>
    <row r="6" spans="1:28" ht="12.75">
      <c r="A6" s="3" t="s">
        <v>103</v>
      </c>
      <c r="B6" s="1" t="s">
        <v>621</v>
      </c>
      <c r="C6" s="1" t="s">
        <v>622</v>
      </c>
      <c r="D6" s="17" t="s">
        <v>50</v>
      </c>
      <c r="E6" s="6" t="str">
        <f>HYPERLINK("https://www.bioscidb.com/browse/deal_bg/1153","Link")</f>
        <v>Link</v>
      </c>
      <c r="F6" s="1" t="s">
        <v>15</v>
      </c>
      <c r="G6" s="16" t="s">
        <v>206</v>
      </c>
      <c r="H6" s="4" t="s">
        <v>14</v>
      </c>
      <c r="I6" s="4" t="s">
        <v>14</v>
      </c>
      <c r="J6" s="4" t="s">
        <v>14</v>
      </c>
      <c r="K6" s="20"/>
      <c r="L6" s="5" t="s">
        <v>19</v>
      </c>
      <c r="M6" s="4" t="s">
        <v>14</v>
      </c>
      <c r="N6" s="6" t="str">
        <f>HYPERLINK("https://www.bioscidb.com/tag/gettag/8fc5f1d8-1573-42ad-9b41-3c0f5a45fb6d","Tag")</f>
        <v>Tag</v>
      </c>
      <c r="O6" s="4" t="s">
        <v>14</v>
      </c>
      <c r="P6" s="4"/>
      <c r="Q6" s="4" t="s">
        <v>14</v>
      </c>
      <c r="R6" s="4"/>
      <c r="S6" s="4" t="s">
        <v>14</v>
      </c>
      <c r="T6" s="27"/>
      <c r="U6" s="4"/>
      <c r="V6" s="8"/>
      <c r="W6" s="4"/>
      <c r="X6" s="1" t="s">
        <v>14</v>
      </c>
      <c r="Y6" s="1" t="s">
        <v>14</v>
      </c>
      <c r="Z6" s="1" t="s">
        <v>123</v>
      </c>
      <c r="AA6" s="1" t="s">
        <v>22</v>
      </c>
      <c r="AB6" s="1" t="s">
        <v>14</v>
      </c>
    </row>
    <row r="7" spans="1:28" ht="12.75">
      <c r="A7" s="3" t="s">
        <v>762</v>
      </c>
      <c r="B7" s="1" t="s">
        <v>71</v>
      </c>
      <c r="C7" s="1" t="s">
        <v>361</v>
      </c>
      <c r="D7" s="1" t="s">
        <v>56</v>
      </c>
      <c r="E7" s="6" t="str">
        <f>HYPERLINK("https://www.bioscidb.com/browse/deal_bg/14011","Link")</f>
        <v>Link</v>
      </c>
      <c r="F7" s="1" t="s">
        <v>27</v>
      </c>
      <c r="G7" s="16" t="s">
        <v>767</v>
      </c>
      <c r="H7" s="4">
        <v>96300</v>
      </c>
      <c r="I7" s="4">
        <v>74000</v>
      </c>
      <c r="J7" s="4">
        <v>16000</v>
      </c>
      <c r="K7" s="20">
        <f>(I7+J7)/H7</f>
        <v>0.9345794392523364</v>
      </c>
      <c r="L7" s="5" t="s">
        <v>19</v>
      </c>
      <c r="M7" s="4" t="s">
        <v>14</v>
      </c>
      <c r="N7" s="4"/>
      <c r="O7" s="4">
        <v>6300</v>
      </c>
      <c r="P7" s="6" t="str">
        <f>HYPERLINK("https://www.bioscidb.com/tag/gettag/4ac18936-7a24-4960-bcfd-6d8c0549cf2d","Tag")</f>
        <v>Tag</v>
      </c>
      <c r="Q7" s="4" t="s">
        <v>14</v>
      </c>
      <c r="R7" s="4"/>
      <c r="S7" s="4" t="s">
        <v>14</v>
      </c>
      <c r="T7" s="26" t="s">
        <v>1001</v>
      </c>
      <c r="U7" s="6" t="str">
        <f>HYPERLINK("https://www.bioscidb.com/tag/gettag/130693cb-ff23-4d53-a9df-7404ea7c1235","Tag")</f>
        <v>Tag</v>
      </c>
      <c r="V7" s="9">
        <v>2.2</v>
      </c>
      <c r="W7" s="6" t="str">
        <f>HYPERLINK("https://www.bioscidb.com/tag/gettag/9a170162-ac2e-43a2-9634-83bd9dec104b","Tag")</f>
        <v>Tag</v>
      </c>
      <c r="X7" s="1" t="s">
        <v>23</v>
      </c>
      <c r="Y7" s="1" t="s">
        <v>79</v>
      </c>
      <c r="Z7" s="1" t="s">
        <v>769</v>
      </c>
      <c r="AA7" s="1" t="s">
        <v>14</v>
      </c>
      <c r="AB7" s="1" t="s">
        <v>768</v>
      </c>
    </row>
    <row r="8" spans="1:28" ht="12.75">
      <c r="A8" s="3" t="s">
        <v>103</v>
      </c>
      <c r="B8" s="1" t="s">
        <v>336</v>
      </c>
      <c r="C8" s="1" t="s">
        <v>126</v>
      </c>
      <c r="D8" s="1" t="s">
        <v>56</v>
      </c>
      <c r="E8" s="6" t="str">
        <f>HYPERLINK("https://www.bioscidb.com/browse/deal_bg/1695","Link")</f>
        <v>Link</v>
      </c>
      <c r="F8" s="1" t="s">
        <v>27</v>
      </c>
      <c r="G8" s="16" t="s">
        <v>82</v>
      </c>
      <c r="H8" s="4">
        <v>23980</v>
      </c>
      <c r="I8" s="4">
        <v>20165</v>
      </c>
      <c r="J8" s="4" t="s">
        <v>14</v>
      </c>
      <c r="K8" s="20">
        <f>I8/H8</f>
        <v>0.8409090909090909</v>
      </c>
      <c r="L8" s="5" t="s">
        <v>19</v>
      </c>
      <c r="M8" s="4" t="s">
        <v>14</v>
      </c>
      <c r="N8" s="4"/>
      <c r="O8" s="4">
        <v>545</v>
      </c>
      <c r="P8" s="6" t="str">
        <f>HYPERLINK("https://www.bioscidb.com/tag/gettag/d8a91b24-8b64-4369-a23e-c35067192bfc","Tag")</f>
        <v>Tag</v>
      </c>
      <c r="Q8" s="4">
        <v>3270</v>
      </c>
      <c r="R8" s="6" t="str">
        <f>HYPERLINK("https://www.bioscidb.com/tag/gettag/e0c20e2c-4c26-4d46-85ee-30edba5f961d","Tag")</f>
        <v>Tag</v>
      </c>
      <c r="S8" s="4" t="s">
        <v>14</v>
      </c>
      <c r="T8" s="26" t="s">
        <v>1001</v>
      </c>
      <c r="U8" s="6" t="str">
        <f>HYPERLINK("https://www.bioscidb.com/tag/gettag/3428b138-f633-4343-9520-034b8f2b4415","Tag")</f>
        <v>Tag</v>
      </c>
      <c r="V8" s="8">
        <v>10</v>
      </c>
      <c r="W8" s="6" t="str">
        <f>HYPERLINK("https://www.bioscidb.com/tag/gettag/df8fc427-4fcb-4ad9-9499-8d7f7c5faaff","Tag")</f>
        <v>Tag</v>
      </c>
      <c r="X8" s="1" t="s">
        <v>14</v>
      </c>
      <c r="Y8" s="1" t="s">
        <v>79</v>
      </c>
      <c r="Z8" s="1" t="s">
        <v>14</v>
      </c>
      <c r="AA8" s="1" t="s">
        <v>14</v>
      </c>
      <c r="AB8" s="1" t="s">
        <v>337</v>
      </c>
    </row>
    <row r="9" spans="1:28" ht="12.75">
      <c r="A9" s="3" t="s">
        <v>494</v>
      </c>
      <c r="B9" s="1" t="s">
        <v>501</v>
      </c>
      <c r="C9" s="1" t="s">
        <v>421</v>
      </c>
      <c r="D9" s="1" t="s">
        <v>50</v>
      </c>
      <c r="E9" s="6" t="str">
        <f>HYPERLINK("https://www.bioscidb.com/browse/deal_bg/7302","Link")</f>
        <v>Link</v>
      </c>
      <c r="F9" s="1" t="s">
        <v>27</v>
      </c>
      <c r="G9" s="16" t="s">
        <v>502</v>
      </c>
      <c r="H9" s="4">
        <v>6546</v>
      </c>
      <c r="I9" s="4">
        <v>5900</v>
      </c>
      <c r="J9" s="4" t="s">
        <v>14</v>
      </c>
      <c r="K9" s="20">
        <f>I9/H9</f>
        <v>0.9013137794072716</v>
      </c>
      <c r="L9" s="5" t="s">
        <v>19</v>
      </c>
      <c r="M9" s="4">
        <v>646</v>
      </c>
      <c r="N9" s="4"/>
      <c r="O9" s="4" t="s">
        <v>14</v>
      </c>
      <c r="P9" s="6" t="str">
        <f>HYPERLINK("https://www.bioscidb.com/tag/gettag/41b2a41f-0ba3-4dde-9d0b-bbc508333b3e","Tag")</f>
        <v>Tag</v>
      </c>
      <c r="Q9" s="4" t="s">
        <v>14</v>
      </c>
      <c r="R9" s="4"/>
      <c r="S9" s="4" t="s">
        <v>14</v>
      </c>
      <c r="T9" s="26" t="s">
        <v>1001</v>
      </c>
      <c r="U9" s="6" t="str">
        <f>HYPERLINK("https://www.bioscidb.com/tag/gettag/58aa1240-d5ef-4a0f-86fe-1851fe3727df","Tag")</f>
        <v>Tag</v>
      </c>
      <c r="V9" s="8">
        <v>4</v>
      </c>
      <c r="W9" s="6" t="str">
        <f>HYPERLINK("https://www.bioscidb.com/tag/gettag/e93f0e61-a912-4884-b203-970c25664098","Tag")</f>
        <v>Tag</v>
      </c>
      <c r="X9" s="1" t="s">
        <v>14</v>
      </c>
      <c r="Y9" s="1" t="s">
        <v>88</v>
      </c>
      <c r="Z9" s="1" t="s">
        <v>504</v>
      </c>
      <c r="AA9" s="1" t="s">
        <v>84</v>
      </c>
      <c r="AB9" s="1" t="s">
        <v>503</v>
      </c>
    </row>
    <row r="10" spans="1:28" ht="26.25" customHeight="1">
      <c r="A10" s="3" t="s">
        <v>168</v>
      </c>
      <c r="B10" s="1" t="s">
        <v>297</v>
      </c>
      <c r="C10" s="1" t="s">
        <v>298</v>
      </c>
      <c r="D10" s="1" t="s">
        <v>56</v>
      </c>
      <c r="E10" s="6" t="str">
        <f>HYPERLINK("https://www.bioscidb.com/browse/deal_bg/1103","Link")</f>
        <v>Link</v>
      </c>
      <c r="F10" s="1" t="s">
        <v>27</v>
      </c>
      <c r="G10" s="16" t="s">
        <v>30</v>
      </c>
      <c r="H10" s="4">
        <v>5930</v>
      </c>
      <c r="I10" s="4">
        <v>5600</v>
      </c>
      <c r="J10" s="4" t="s">
        <v>14</v>
      </c>
      <c r="K10" s="20">
        <f>I10/H10</f>
        <v>0.9443507588532883</v>
      </c>
      <c r="L10" s="5" t="s">
        <v>19</v>
      </c>
      <c r="M10" s="4" t="s">
        <v>14</v>
      </c>
      <c r="N10" s="4"/>
      <c r="O10" s="4" t="s">
        <v>14</v>
      </c>
      <c r="P10" s="4"/>
      <c r="Q10" s="4">
        <v>330</v>
      </c>
      <c r="R10" s="6" t="str">
        <f>HYPERLINK("https://www.bioscidb.com/tag/gettag/fff433b2-3bde-44f1-8115-7721a00408e9","Tag")</f>
        <v>Tag</v>
      </c>
      <c r="S10" s="4" t="s">
        <v>14</v>
      </c>
      <c r="T10" s="26" t="s">
        <v>1011</v>
      </c>
      <c r="U10" s="6" t="str">
        <f>HYPERLINK("https://www.bioscidb.com/tag/gettag/54ea382b-c44b-47b3-b228-47157622538e","Tag")</f>
        <v>Tag</v>
      </c>
      <c r="V10" s="8">
        <v>1</v>
      </c>
      <c r="W10" s="6" t="str">
        <f>HYPERLINK("https://www.bioscidb.com/tag/gettag/f397eacc-f2f2-4653-bbf5-276ebdbbcdd9","Tag")</f>
        <v>Tag</v>
      </c>
      <c r="X10" s="1" t="s">
        <v>66</v>
      </c>
      <c r="Y10" s="1" t="s">
        <v>66</v>
      </c>
      <c r="Z10" s="1" t="s">
        <v>14</v>
      </c>
      <c r="AA10" s="1" t="s">
        <v>178</v>
      </c>
      <c r="AB10" s="1" t="s">
        <v>299</v>
      </c>
    </row>
    <row r="11" spans="1:28" ht="12.75">
      <c r="A11" s="3" t="s">
        <v>179</v>
      </c>
      <c r="B11" s="1" t="s">
        <v>180</v>
      </c>
      <c r="C11" s="1" t="s">
        <v>181</v>
      </c>
      <c r="D11" s="1" t="s">
        <v>56</v>
      </c>
      <c r="E11" s="6" t="str">
        <f>HYPERLINK("https://www.bioscidb.com/browse/deal_bg/8028","Link")</f>
        <v>Link</v>
      </c>
      <c r="F11" s="1" t="s">
        <v>27</v>
      </c>
      <c r="G11" s="16" t="s">
        <v>182</v>
      </c>
      <c r="H11" s="4">
        <v>4600</v>
      </c>
      <c r="I11" s="4">
        <v>3630</v>
      </c>
      <c r="J11" s="4" t="s">
        <v>14</v>
      </c>
      <c r="K11" s="20">
        <f>I11/H11</f>
        <v>0.7891304347826087</v>
      </c>
      <c r="L11" s="5" t="s">
        <v>19</v>
      </c>
      <c r="M11" s="4" t="s">
        <v>14</v>
      </c>
      <c r="N11" s="4"/>
      <c r="O11" s="4" t="s">
        <v>14</v>
      </c>
      <c r="P11" s="4"/>
      <c r="Q11" s="4">
        <v>970</v>
      </c>
      <c r="R11" s="4"/>
      <c r="S11" s="4" t="s">
        <v>14</v>
      </c>
      <c r="T11" s="27"/>
      <c r="U11" s="4"/>
      <c r="V11" s="8"/>
      <c r="W11" s="4"/>
      <c r="X11" s="1" t="s">
        <v>14</v>
      </c>
      <c r="Y11" s="1" t="s">
        <v>66</v>
      </c>
      <c r="Z11" s="1" t="s">
        <v>14</v>
      </c>
      <c r="AA11" s="1" t="s">
        <v>178</v>
      </c>
      <c r="AB11" s="1" t="s">
        <v>183</v>
      </c>
    </row>
    <row r="12" spans="1:28" ht="12.75">
      <c r="A12" s="3" t="s">
        <v>164</v>
      </c>
      <c r="B12" s="1" t="s">
        <v>165</v>
      </c>
      <c r="C12" s="1" t="s">
        <v>166</v>
      </c>
      <c r="D12" s="1" t="s">
        <v>56</v>
      </c>
      <c r="E12" s="6" t="str">
        <f>HYPERLINK("https://www.bioscidb.com/browse/deal_bg/3188","Link")</f>
        <v>Link</v>
      </c>
      <c r="F12" s="1" t="s">
        <v>15</v>
      </c>
      <c r="G12" s="16" t="s">
        <v>167</v>
      </c>
      <c r="H12" s="4">
        <v>4600</v>
      </c>
      <c r="I12" s="4">
        <v>4100</v>
      </c>
      <c r="J12" s="4" t="s">
        <v>14</v>
      </c>
      <c r="K12" s="20">
        <f>I12/H12</f>
        <v>0.8913043478260869</v>
      </c>
      <c r="L12" s="5" t="s">
        <v>19</v>
      </c>
      <c r="M12" s="4">
        <v>500</v>
      </c>
      <c r="N12" s="6" t="str">
        <f>HYPERLINK("https://www.bioscidb.com/tag/gettag/229cbfae-32da-46d2-bdbb-724b1af4bb6c","Tag")</f>
        <v>Tag</v>
      </c>
      <c r="O12" s="4" t="s">
        <v>14</v>
      </c>
      <c r="P12" s="4"/>
      <c r="Q12" s="4" t="s">
        <v>14</v>
      </c>
      <c r="R12" s="4"/>
      <c r="S12" s="4" t="s">
        <v>14</v>
      </c>
      <c r="T12" s="27"/>
      <c r="U12" s="4"/>
      <c r="V12" s="8">
        <v>10</v>
      </c>
      <c r="W12" s="6" t="str">
        <f>HYPERLINK("https://www.bioscidb.com/tag/gettag/9c0c4fb8-1f21-4f21-818e-52468b8c4542","Tag")</f>
        <v>Tag</v>
      </c>
      <c r="X12" s="1" t="s">
        <v>14</v>
      </c>
      <c r="Y12" s="1" t="s">
        <v>79</v>
      </c>
      <c r="Z12" s="1" t="s">
        <v>21</v>
      </c>
      <c r="AA12" s="1" t="s">
        <v>14</v>
      </c>
      <c r="AB12" s="1" t="s">
        <v>14</v>
      </c>
    </row>
    <row r="13" spans="1:28" ht="12.75">
      <c r="A13" s="3" t="s">
        <v>124</v>
      </c>
      <c r="B13" s="1" t="s">
        <v>309</v>
      </c>
      <c r="C13" s="1" t="s">
        <v>71</v>
      </c>
      <c r="D13" s="1" t="s">
        <v>56</v>
      </c>
      <c r="E13" s="6" t="str">
        <f>HYPERLINK("https://www.bioscidb.com/browse/deal_bg/965","Link")</f>
        <v>Link</v>
      </c>
      <c r="F13" s="1" t="s">
        <v>27</v>
      </c>
      <c r="G13" s="16" t="s">
        <v>310</v>
      </c>
      <c r="H13" s="4">
        <v>3550</v>
      </c>
      <c r="I13" s="4">
        <v>2900</v>
      </c>
      <c r="J13" s="4" t="s">
        <v>14</v>
      </c>
      <c r="K13" s="20">
        <f>I13/H13</f>
        <v>0.8169014084507042</v>
      </c>
      <c r="L13" s="5" t="s">
        <v>19</v>
      </c>
      <c r="M13" s="4" t="s">
        <v>14</v>
      </c>
      <c r="N13" s="4"/>
      <c r="O13" s="4">
        <v>650</v>
      </c>
      <c r="P13" s="6" t="str">
        <f>HYPERLINK("https://www.bioscidb.com/tag/gettag/f4a08ed7-a1a3-4a6d-8509-f45a5b76339f","Tag")</f>
        <v>Tag</v>
      </c>
      <c r="Q13" s="4" t="s">
        <v>14</v>
      </c>
      <c r="R13" s="4"/>
      <c r="S13" s="4">
        <v>10</v>
      </c>
      <c r="T13" s="26" t="s">
        <v>1001</v>
      </c>
      <c r="U13" s="6" t="str">
        <f>HYPERLINK("https://www.bioscidb.com/tag/gettag/14d54ab7-08d9-47c3-8e3a-c5383e9d1cac","Tag")</f>
        <v>Tag</v>
      </c>
      <c r="V13" s="8">
        <v>5</v>
      </c>
      <c r="W13" s="6" t="str">
        <f>HYPERLINK("https://www.bioscidb.com/tag/gettag/debd8cb9-29cb-4e06-b053-695398896f4a","Tag")</f>
        <v>Tag</v>
      </c>
      <c r="X13" s="1" t="s">
        <v>14</v>
      </c>
      <c r="Y13" s="1" t="s">
        <v>23</v>
      </c>
      <c r="Z13" s="1" t="s">
        <v>55</v>
      </c>
      <c r="AA13" s="1" t="s">
        <v>14</v>
      </c>
      <c r="AB13" s="1" t="s">
        <v>311</v>
      </c>
    </row>
    <row r="14" spans="1:28" ht="12.75">
      <c r="A14" s="3" t="s">
        <v>904</v>
      </c>
      <c r="B14" s="1" t="s">
        <v>967</v>
      </c>
      <c r="C14" s="1" t="s">
        <v>394</v>
      </c>
      <c r="D14" s="1" t="s">
        <v>159</v>
      </c>
      <c r="E14" s="6" t="str">
        <f>HYPERLINK("https://www.bioscidb.com/browse/deal_bg/15098","Link")</f>
        <v>Link</v>
      </c>
      <c r="F14" s="1" t="s">
        <v>27</v>
      </c>
      <c r="G14" s="16" t="s">
        <v>968</v>
      </c>
      <c r="H14" s="4">
        <v>1950</v>
      </c>
      <c r="I14" s="4">
        <v>1755</v>
      </c>
      <c r="J14" s="4" t="s">
        <v>14</v>
      </c>
      <c r="K14" s="20">
        <f>I14/H14</f>
        <v>0.9</v>
      </c>
      <c r="L14" s="5" t="s">
        <v>19</v>
      </c>
      <c r="M14" s="4">
        <v>195</v>
      </c>
      <c r="N14" s="6" t="str">
        <f>HYPERLINK("https://www.bioscidb.com/tag/gettag/d487b7b7-6a65-4c07-8fd9-c2367df210cf","Tag")</f>
        <v>Tag</v>
      </c>
      <c r="O14" s="4" t="s">
        <v>14</v>
      </c>
      <c r="P14" s="4"/>
      <c r="Q14" s="4" t="s">
        <v>14</v>
      </c>
      <c r="R14" s="4"/>
      <c r="S14" s="4" t="s">
        <v>14</v>
      </c>
      <c r="T14" s="26" t="s">
        <v>1002</v>
      </c>
      <c r="U14" s="6" t="str">
        <f>HYPERLINK("https://www.bioscidb.com/tag/gettag/a785b6d6-f222-48c2-aab2-a295c0adb2fa","Tag")</f>
        <v>Tag</v>
      </c>
      <c r="V14" s="9">
        <v>5.2</v>
      </c>
      <c r="W14" s="6" t="str">
        <f>HYPERLINK("https://www.bioscidb.com/tag/gettag/9201eb34-ecd7-4b54-9574-104068da3161","Tag")</f>
        <v>Tag</v>
      </c>
      <c r="X14" s="1" t="s">
        <v>211</v>
      </c>
      <c r="Y14" s="1" t="s">
        <v>66</v>
      </c>
      <c r="Z14" s="1" t="s">
        <v>139</v>
      </c>
      <c r="AA14" s="1" t="s">
        <v>84</v>
      </c>
      <c r="AB14" s="1" t="s">
        <v>969</v>
      </c>
    </row>
    <row r="15" spans="1:28" ht="12.75">
      <c r="A15" s="3" t="s">
        <v>351</v>
      </c>
      <c r="B15" s="1" t="s">
        <v>806</v>
      </c>
      <c r="C15" s="1" t="s">
        <v>764</v>
      </c>
      <c r="D15" s="1" t="s">
        <v>56</v>
      </c>
      <c r="E15" s="6" t="str">
        <f>HYPERLINK("https://www.bioscidb.com/browse/deal_bg/6842","Link")</f>
        <v>Link</v>
      </c>
      <c r="F15" s="1" t="s">
        <v>15</v>
      </c>
      <c r="G15" s="16" t="s">
        <v>807</v>
      </c>
      <c r="H15" s="4">
        <v>1850</v>
      </c>
      <c r="I15" s="4">
        <v>1600</v>
      </c>
      <c r="J15" s="4" t="s">
        <v>14</v>
      </c>
      <c r="K15" s="20">
        <f>I15/H15</f>
        <v>0.8648648648648649</v>
      </c>
      <c r="L15" s="5" t="s">
        <v>19</v>
      </c>
      <c r="M15" s="4" t="s">
        <v>14</v>
      </c>
      <c r="N15" s="4"/>
      <c r="O15" s="4" t="s">
        <v>14</v>
      </c>
      <c r="P15" s="4"/>
      <c r="Q15" s="4">
        <v>250</v>
      </c>
      <c r="R15" s="6" t="str">
        <f>HYPERLINK("https://www.bioscidb.com/tag/gettag/d3196536-652d-418d-b8c2-ee26353f5af2","Tag")</f>
        <v>Tag</v>
      </c>
      <c r="S15" s="4" t="s">
        <v>14</v>
      </c>
      <c r="T15" s="27"/>
      <c r="U15" s="4"/>
      <c r="V15" s="8"/>
      <c r="W15" s="4"/>
      <c r="X15" s="1" t="s">
        <v>14</v>
      </c>
      <c r="Y15" s="1" t="s">
        <v>14</v>
      </c>
      <c r="Z15" s="1" t="s">
        <v>83</v>
      </c>
      <c r="AA15" s="1" t="s">
        <v>178</v>
      </c>
      <c r="AB15" s="1" t="s">
        <v>14</v>
      </c>
    </row>
    <row r="16" spans="1:28" ht="36.75" customHeight="1">
      <c r="A16" s="3" t="s">
        <v>456</v>
      </c>
      <c r="B16" s="1" t="s">
        <v>193</v>
      </c>
      <c r="C16" s="1" t="s">
        <v>165</v>
      </c>
      <c r="D16" s="1" t="s">
        <v>56</v>
      </c>
      <c r="E16" s="6" t="str">
        <f>HYPERLINK("https://www.bioscidb.com/browse/deal_bg/4732","Link")</f>
        <v>Link</v>
      </c>
      <c r="F16" s="1" t="s">
        <v>27</v>
      </c>
      <c r="G16" s="16" t="s">
        <v>460</v>
      </c>
      <c r="H16" s="4">
        <v>1650</v>
      </c>
      <c r="I16" s="4">
        <v>1600</v>
      </c>
      <c r="J16" s="4" t="s">
        <v>14</v>
      </c>
      <c r="K16" s="20">
        <f>I16/H16</f>
        <v>0.9696969696969697</v>
      </c>
      <c r="L16" s="5" t="s">
        <v>19</v>
      </c>
      <c r="M16" s="4" t="s">
        <v>14</v>
      </c>
      <c r="N16" s="4"/>
      <c r="O16" s="4" t="s">
        <v>14</v>
      </c>
      <c r="P16" s="4"/>
      <c r="Q16" s="4">
        <v>50</v>
      </c>
      <c r="R16" s="6" t="str">
        <f>HYPERLINK("https://www.bioscidb.com/tag/gettag/3ca2aa42-0171-4691-a7ec-83805b2b1beb","Tag")</f>
        <v>Tag</v>
      </c>
      <c r="S16" s="4" t="s">
        <v>14</v>
      </c>
      <c r="T16" s="26" t="s">
        <v>1012</v>
      </c>
      <c r="U16" s="6" t="str">
        <f>HYPERLINK("https://www.bioscidb.com/tag/gettag/96172a66-e9a8-4bf0-91bf-54771349d204","Tag")</f>
        <v>Tag</v>
      </c>
      <c r="V16" s="8">
        <v>1.8</v>
      </c>
      <c r="W16" s="6" t="str">
        <f>HYPERLINK("https://www.bioscidb.com/tag/gettag/aa49dae2-3f05-4a12-9aa5-1674eb9fbbc0","Tag")</f>
        <v>Tag</v>
      </c>
      <c r="X16" s="1" t="s">
        <v>14</v>
      </c>
      <c r="Y16" s="1" t="s">
        <v>14</v>
      </c>
      <c r="Z16" s="1" t="s">
        <v>325</v>
      </c>
      <c r="AA16" s="1" t="s">
        <v>14</v>
      </c>
      <c r="AB16" s="1" t="s">
        <v>14</v>
      </c>
    </row>
    <row r="17" spans="1:28" ht="38.25">
      <c r="A17" s="3" t="s">
        <v>103</v>
      </c>
      <c r="B17" s="17" t="s">
        <v>279</v>
      </c>
      <c r="C17" s="1" t="s">
        <v>216</v>
      </c>
      <c r="D17" s="1" t="s">
        <v>56</v>
      </c>
      <c r="E17" s="6" t="str">
        <f>HYPERLINK("https://www.bioscidb.com/browse/deal_bg/15974","Link")</f>
        <v>Link</v>
      </c>
      <c r="F17" s="1" t="s">
        <v>27</v>
      </c>
      <c r="G17" s="16" t="s">
        <v>30</v>
      </c>
      <c r="H17" s="4">
        <v>1575</v>
      </c>
      <c r="I17" s="4">
        <v>1300</v>
      </c>
      <c r="J17" s="4" t="s">
        <v>14</v>
      </c>
      <c r="K17" s="20">
        <f>I17/H17</f>
        <v>0.8253968253968254</v>
      </c>
      <c r="L17" s="5" t="s">
        <v>19</v>
      </c>
      <c r="M17" s="4" t="s">
        <v>14</v>
      </c>
      <c r="N17" s="4"/>
      <c r="O17" s="4" t="s">
        <v>14</v>
      </c>
      <c r="P17" s="4"/>
      <c r="Q17" s="4">
        <v>275</v>
      </c>
      <c r="R17" s="6" t="str">
        <f>HYPERLINK("https://www.bioscidb.com/tag/gettag/7a69830a-a474-4cbd-b072-8ab7892e8f11","Tag")</f>
        <v>Tag</v>
      </c>
      <c r="S17" s="4" t="s">
        <v>14</v>
      </c>
      <c r="T17" s="26" t="s">
        <v>1013</v>
      </c>
      <c r="U17" s="6" t="str">
        <f>HYPERLINK("https://www.bioscidb.com/tag/gettag/45241868-3e60-4c8f-93c1-17d9e7e861db","Tag")</f>
        <v>Tag</v>
      </c>
      <c r="V17" s="9">
        <v>9</v>
      </c>
      <c r="W17" s="6" t="str">
        <f>HYPERLINK("https://www.bioscidb.com/tag/gettag/c1f35a66-e65e-476b-b712-25ac5de6f2ed","Tag")</f>
        <v>Tag</v>
      </c>
      <c r="X17" s="1" t="s">
        <v>14</v>
      </c>
      <c r="Y17" s="1" t="s">
        <v>14</v>
      </c>
      <c r="Z17" s="1" t="s">
        <v>14</v>
      </c>
      <c r="AA17" s="1" t="s">
        <v>14</v>
      </c>
      <c r="AB17" s="1" t="s">
        <v>244</v>
      </c>
    </row>
    <row r="18" spans="1:28" ht="38.25">
      <c r="A18" s="3" t="s">
        <v>559</v>
      </c>
      <c r="B18" s="1" t="s">
        <v>566</v>
      </c>
      <c r="C18" s="1" t="s">
        <v>466</v>
      </c>
      <c r="D18" s="1" t="s">
        <v>43</v>
      </c>
      <c r="E18" s="6" t="str">
        <f>HYPERLINK("https://www.bioscidb.com/browse/deal_bg/9595","Link")</f>
        <v>Link</v>
      </c>
      <c r="F18" s="1" t="s">
        <v>27</v>
      </c>
      <c r="G18" s="16" t="s">
        <v>567</v>
      </c>
      <c r="H18" s="4">
        <v>1481</v>
      </c>
      <c r="I18" s="4">
        <v>537</v>
      </c>
      <c r="J18" s="4" t="s">
        <v>14</v>
      </c>
      <c r="K18" s="20">
        <f>I18/H18</f>
        <v>0.362592842673869</v>
      </c>
      <c r="L18" s="5" t="s">
        <v>19</v>
      </c>
      <c r="M18" s="4">
        <v>602</v>
      </c>
      <c r="N18" s="6" t="str">
        <f>HYPERLINK("https://www.bioscidb.com/tag/gettag/9e6015f9-208c-4da8-b580-75341c490b3b","Tag")</f>
        <v>Tag</v>
      </c>
      <c r="O18" s="4" t="s">
        <v>14</v>
      </c>
      <c r="P18" s="4"/>
      <c r="Q18" s="4">
        <v>342</v>
      </c>
      <c r="R18" s="6" t="str">
        <f>HYPERLINK("https://www.bioscidb.com/tag/gettag/59e6d607-0939-4166-9d31-6b5cb0af9e91","Tag")</f>
        <v>Tag</v>
      </c>
      <c r="S18" s="4" t="s">
        <v>14</v>
      </c>
      <c r="T18" s="26" t="s">
        <v>1013</v>
      </c>
      <c r="U18" s="6" t="str">
        <f>HYPERLINK("https://www.bioscidb.com/tag/gettag/373b3de3-b360-435b-b3e5-9069f4074acf","Tag")</f>
        <v>Tag</v>
      </c>
      <c r="V18" s="8">
        <v>12.2</v>
      </c>
      <c r="W18" s="6" t="str">
        <f>HYPERLINK("https://www.bioscidb.com/tag/gettag/481fbb9c-c6b7-4b4e-88e1-7e716967871c","Tag")</f>
        <v>Tag</v>
      </c>
      <c r="X18" s="1" t="s">
        <v>211</v>
      </c>
      <c r="Y18" s="1" t="s">
        <v>66</v>
      </c>
      <c r="Z18" s="1" t="s">
        <v>569</v>
      </c>
      <c r="AA18" s="1" t="s">
        <v>22</v>
      </c>
      <c r="AB18" s="1" t="s">
        <v>568</v>
      </c>
    </row>
    <row r="19" spans="1:28" ht="38.25">
      <c r="A19" s="3" t="s">
        <v>190</v>
      </c>
      <c r="B19" s="1" t="s">
        <v>215</v>
      </c>
      <c r="C19" s="1" t="s">
        <v>216</v>
      </c>
      <c r="D19" s="1" t="s">
        <v>50</v>
      </c>
      <c r="E19" s="6" t="str">
        <f>HYPERLINK("https://www.bioscidb.com/browse/deal_bg/2554","Link")</f>
        <v>Link</v>
      </c>
      <c r="F19" s="1" t="s">
        <v>27</v>
      </c>
      <c r="G19" s="16" t="s">
        <v>217</v>
      </c>
      <c r="H19" s="4">
        <v>1460</v>
      </c>
      <c r="I19" s="4">
        <v>1100</v>
      </c>
      <c r="J19" s="4" t="s">
        <v>14</v>
      </c>
      <c r="K19" s="20">
        <f>I19/H19</f>
        <v>0.7534246575342466</v>
      </c>
      <c r="L19" s="5" t="s">
        <v>19</v>
      </c>
      <c r="M19" s="4">
        <v>360</v>
      </c>
      <c r="N19" s="4"/>
      <c r="O19" s="4" t="s">
        <v>14</v>
      </c>
      <c r="P19" s="6" t="str">
        <f>HYPERLINK("https://www.bioscidb.com/tag/gettag/b1caa590-383f-435b-ad23-74d438edfd07","Tag")</f>
        <v>Tag</v>
      </c>
      <c r="Q19" s="4" t="s">
        <v>14</v>
      </c>
      <c r="R19" s="4"/>
      <c r="S19" s="4" t="s">
        <v>14</v>
      </c>
      <c r="T19" s="26" t="s">
        <v>1013</v>
      </c>
      <c r="U19" s="6" t="str">
        <f>HYPERLINK("https://www.bioscidb.com/tag/gettag/be90d070-b892-410c-b232-328457e05b28","Tag")</f>
        <v>Tag</v>
      </c>
      <c r="V19" s="8">
        <v>2</v>
      </c>
      <c r="W19" s="6" t="str">
        <f>HYPERLINK("https://www.bioscidb.com/tag/gettag/12c49a60-1a74-4c72-98e0-47caeec21ad9","Tag")</f>
        <v>Tag</v>
      </c>
      <c r="X19" s="1" t="s">
        <v>14</v>
      </c>
      <c r="Y19" s="1" t="s">
        <v>66</v>
      </c>
      <c r="Z19" s="1" t="s">
        <v>163</v>
      </c>
      <c r="AA19" s="1" t="s">
        <v>22</v>
      </c>
      <c r="AB19" s="1" t="s">
        <v>218</v>
      </c>
    </row>
    <row r="20" spans="1:28" ht="25.5">
      <c r="A20" s="3" t="s">
        <v>757</v>
      </c>
      <c r="B20" s="1" t="s">
        <v>770</v>
      </c>
      <c r="C20" s="1" t="s">
        <v>145</v>
      </c>
      <c r="D20" s="17" t="s">
        <v>50</v>
      </c>
      <c r="E20" s="6" t="str">
        <f>HYPERLINK("https://www.bioscidb.com/browse/deal_bg/14313","Link")</f>
        <v>Link</v>
      </c>
      <c r="F20" s="1" t="s">
        <v>27</v>
      </c>
      <c r="G20" s="16" t="s">
        <v>771</v>
      </c>
      <c r="H20" s="4">
        <v>1267</v>
      </c>
      <c r="I20" s="4">
        <v>1004</v>
      </c>
      <c r="J20" s="4" t="s">
        <v>14</v>
      </c>
      <c r="K20" s="20">
        <f>I20/H20</f>
        <v>0.7924230465666929</v>
      </c>
      <c r="L20" s="5" t="s">
        <v>19</v>
      </c>
      <c r="M20" s="4">
        <v>263</v>
      </c>
      <c r="N20" s="6" t="str">
        <f>HYPERLINK("https://www.bioscidb.com/tag/gettag/e8ef6587-b1c7-4fd0-934a-18b4a2d7d222","Tag")</f>
        <v>Tag</v>
      </c>
      <c r="O20" s="4" t="s">
        <v>14</v>
      </c>
      <c r="P20" s="6" t="str">
        <f>HYPERLINK("https://www.bioscidb.com/tag/gettag/e8ef6587-b1c7-4fd0-934a-18b4a2d7d222","Tag")</f>
        <v>Tag</v>
      </c>
      <c r="Q20" s="4" t="s">
        <v>14</v>
      </c>
      <c r="R20" s="4"/>
      <c r="S20" s="4" t="s">
        <v>14</v>
      </c>
      <c r="T20" s="26" t="s">
        <v>1014</v>
      </c>
      <c r="U20" s="6" t="str">
        <f>HYPERLINK("https://www.bioscidb.com/tag/gettag/48f87a3c-a526-4c44-a628-f9bc8a9bfa7f","Tag")</f>
        <v>Tag</v>
      </c>
      <c r="V20" s="9">
        <v>6</v>
      </c>
      <c r="W20" s="6" t="str">
        <f>HYPERLINK("https://www.bioscidb.com/tag/gettag/cab578ad-40b2-4198-96d9-2872d80e8a64","Tag")</f>
        <v>Tag</v>
      </c>
      <c r="X20" s="1" t="s">
        <v>211</v>
      </c>
      <c r="Y20" s="1" t="s">
        <v>66</v>
      </c>
      <c r="Z20" s="1" t="s">
        <v>189</v>
      </c>
      <c r="AA20" s="1" t="s">
        <v>22</v>
      </c>
      <c r="AB20" s="1" t="s">
        <v>772</v>
      </c>
    </row>
    <row r="21" spans="1:28" ht="25.5">
      <c r="A21" s="3" t="s">
        <v>891</v>
      </c>
      <c r="B21" s="1" t="s">
        <v>892</v>
      </c>
      <c r="C21" s="1" t="s">
        <v>47</v>
      </c>
      <c r="D21" s="1" t="s">
        <v>43</v>
      </c>
      <c r="E21" s="6" t="str">
        <f>HYPERLINK("https://www.bioscidb.com/browse/deal_bg/15254","Link")</f>
        <v>Link</v>
      </c>
      <c r="F21" s="1" t="s">
        <v>27</v>
      </c>
      <c r="G21" s="16" t="s">
        <v>893</v>
      </c>
      <c r="H21" s="4">
        <v>1225</v>
      </c>
      <c r="I21" s="4">
        <v>930</v>
      </c>
      <c r="J21" s="4" t="s">
        <v>14</v>
      </c>
      <c r="K21" s="20">
        <f>I21/H21</f>
        <v>0.7591836734693878</v>
      </c>
      <c r="L21" s="5" t="s">
        <v>19</v>
      </c>
      <c r="M21" s="4">
        <v>295</v>
      </c>
      <c r="N21" s="6" t="str">
        <f>HYPERLINK("https://www.bioscidb.com/tag/gettag/954a4332-76e3-4868-9032-150bfbccc792","Tag")</f>
        <v>Tag</v>
      </c>
      <c r="O21" s="4" t="s">
        <v>14</v>
      </c>
      <c r="P21" s="4"/>
      <c r="Q21" s="4" t="s">
        <v>14</v>
      </c>
      <c r="R21" s="4"/>
      <c r="S21" s="4" t="s">
        <v>14</v>
      </c>
      <c r="T21" s="26" t="s">
        <v>1000</v>
      </c>
      <c r="U21" s="6" t="str">
        <f>HYPERLINK("https://www.bioscidb.com/tag/gettag/57bbf638-407a-43d6-af94-10ae65df4838","Tag")</f>
        <v>Tag</v>
      </c>
      <c r="V21" s="8">
        <v>4.5</v>
      </c>
      <c r="W21" s="6" t="str">
        <f>HYPERLINK("https://www.bioscidb.com/tag/gettag/394cadff-70be-44d7-b950-8548f669e758","Tag")</f>
        <v>Tag</v>
      </c>
      <c r="X21" s="1" t="s">
        <v>14</v>
      </c>
      <c r="Y21" s="1" t="s">
        <v>23</v>
      </c>
      <c r="Z21" s="1" t="s">
        <v>123</v>
      </c>
      <c r="AA21" s="1" t="s">
        <v>22</v>
      </c>
      <c r="AB21" s="1" t="s">
        <v>894</v>
      </c>
    </row>
    <row r="22" spans="1:28" ht="12.75">
      <c r="A22" s="3" t="s">
        <v>865</v>
      </c>
      <c r="B22" s="1" t="s">
        <v>866</v>
      </c>
      <c r="C22" s="1" t="s">
        <v>609</v>
      </c>
      <c r="D22" s="1" t="s">
        <v>90</v>
      </c>
      <c r="E22" s="6" t="str">
        <f>HYPERLINK("https://www.bioscidb.com/browse/deal_bg/14734","Link")</f>
        <v>Link</v>
      </c>
      <c r="F22" s="1" t="s">
        <v>45</v>
      </c>
      <c r="G22" s="16" t="s">
        <v>867</v>
      </c>
      <c r="H22" s="4">
        <v>1047</v>
      </c>
      <c r="I22" s="4">
        <v>319.3</v>
      </c>
      <c r="J22" s="4" t="s">
        <v>14</v>
      </c>
      <c r="K22" s="20">
        <f>I22/H22</f>
        <v>0.30496657115568293</v>
      </c>
      <c r="L22" s="5" t="s">
        <v>19</v>
      </c>
      <c r="M22" s="4" t="s">
        <v>14</v>
      </c>
      <c r="N22" s="6" t="str">
        <f>HYPERLINK("https://www.bioscidb.com/tag/gettag/c6a61117-b53f-4ae1-a0ec-fc4d9e5e1bab","Tag")</f>
        <v>Tag</v>
      </c>
      <c r="O22" s="4" t="s">
        <v>14</v>
      </c>
      <c r="P22" s="4"/>
      <c r="Q22" s="4" t="s">
        <v>14</v>
      </c>
      <c r="R22" s="4"/>
      <c r="S22" s="4" t="s">
        <v>14</v>
      </c>
      <c r="T22" s="26" t="s">
        <v>1002</v>
      </c>
      <c r="U22" s="6" t="str">
        <f>HYPERLINK("https://www.bioscidb.com/tag/gettag/45c8ee14-0d96-4efd-b1c6-4871517c4456","Tag")</f>
        <v>Tag</v>
      </c>
      <c r="V22" s="8"/>
      <c r="W22" s="4"/>
      <c r="X22" s="1" t="s">
        <v>14</v>
      </c>
      <c r="Y22" s="1" t="s">
        <v>23</v>
      </c>
      <c r="Z22" s="1" t="s">
        <v>317</v>
      </c>
      <c r="AA22" s="1" t="s">
        <v>383</v>
      </c>
      <c r="AB22" s="1" t="s">
        <v>868</v>
      </c>
    </row>
    <row r="23" spans="1:28" ht="12.75">
      <c r="A23" s="3" t="s">
        <v>373</v>
      </c>
      <c r="B23" s="1" t="s">
        <v>332</v>
      </c>
      <c r="C23" s="1" t="s">
        <v>376</v>
      </c>
      <c r="D23" s="1" t="s">
        <v>56</v>
      </c>
      <c r="E23" s="6" t="str">
        <f>HYPERLINK("https://www.bioscidb.com/browse/deal_bg/3747","Link")</f>
        <v>Link</v>
      </c>
      <c r="F23" s="1" t="s">
        <v>27</v>
      </c>
      <c r="G23" s="16" t="s">
        <v>100</v>
      </c>
      <c r="H23" s="4">
        <v>1025</v>
      </c>
      <c r="I23" s="4">
        <v>600</v>
      </c>
      <c r="J23" s="4">
        <v>75</v>
      </c>
      <c r="K23" s="20">
        <f>(I23+J23)/H23</f>
        <v>0.6585365853658537</v>
      </c>
      <c r="L23" s="5" t="s">
        <v>19</v>
      </c>
      <c r="M23" s="4" t="s">
        <v>14</v>
      </c>
      <c r="N23" s="4"/>
      <c r="O23" s="4" t="s">
        <v>14</v>
      </c>
      <c r="P23" s="4"/>
      <c r="Q23" s="4">
        <v>350</v>
      </c>
      <c r="R23" s="6" t="str">
        <f>HYPERLINK("https://www.bioscidb.com/tag/gettag/9981f454-4a8c-413c-8bb7-988075b1925d","Tag")</f>
        <v>Tag</v>
      </c>
      <c r="S23" s="4" t="s">
        <v>14</v>
      </c>
      <c r="T23" s="26" t="s">
        <v>1002</v>
      </c>
      <c r="U23" s="6" t="str">
        <f>HYPERLINK("https://www.bioscidb.com/tag/gettag/90c12c27-b26d-4b8b-a5ea-7569c5e65806","Tag")</f>
        <v>Tag</v>
      </c>
      <c r="V23" s="8">
        <v>5.2</v>
      </c>
      <c r="W23" s="6" t="str">
        <f>HYPERLINK("https://www.bioscidb.com/tag/gettag/026fc20e-454e-4bc7-b433-0cd572c324e6","Tag")</f>
        <v>Tag</v>
      </c>
      <c r="X23" s="1" t="s">
        <v>14</v>
      </c>
      <c r="Y23" s="1" t="s">
        <v>14</v>
      </c>
      <c r="Z23" s="1" t="s">
        <v>378</v>
      </c>
      <c r="AA23" s="1" t="s">
        <v>22</v>
      </c>
      <c r="AB23" s="1" t="s">
        <v>377</v>
      </c>
    </row>
    <row r="24" spans="1:28" ht="12.75">
      <c r="A24" s="3"/>
      <c r="B24" s="1"/>
      <c r="C24" s="1"/>
      <c r="D24" s="1"/>
      <c r="E24" s="6"/>
      <c r="F24" s="1"/>
      <c r="G24" s="16"/>
      <c r="H24" s="4"/>
      <c r="I24" s="4"/>
      <c r="J24" s="4"/>
      <c r="K24" s="20"/>
      <c r="L24" s="5"/>
      <c r="M24" s="4"/>
      <c r="N24" s="4"/>
      <c r="O24" s="4"/>
      <c r="P24" s="4"/>
      <c r="Q24" s="4"/>
      <c r="R24" s="6"/>
      <c r="S24" s="4"/>
      <c r="T24" s="27"/>
      <c r="U24" s="6"/>
      <c r="V24" s="8"/>
      <c r="W24" s="6"/>
      <c r="X24" s="1"/>
      <c r="Y24" s="1"/>
      <c r="Z24" s="1"/>
      <c r="AA24" s="1"/>
      <c r="AB24" s="1"/>
    </row>
    <row r="25" spans="1:28" ht="12.75">
      <c r="A25" s="3"/>
      <c r="B25" s="1"/>
      <c r="C25" s="1"/>
      <c r="D25" s="1"/>
      <c r="E25" s="6"/>
      <c r="F25" s="1"/>
      <c r="G25" s="16"/>
      <c r="H25" s="4"/>
      <c r="I25" s="4"/>
      <c r="J25" s="4"/>
      <c r="K25" s="20"/>
      <c r="L25" s="5"/>
      <c r="M25" s="4"/>
      <c r="N25" s="4"/>
      <c r="O25" s="4"/>
      <c r="P25" s="4"/>
      <c r="Q25" s="4"/>
      <c r="R25" s="6"/>
      <c r="S25" s="4"/>
      <c r="U25" s="25" t="s">
        <v>1003</v>
      </c>
      <c r="V25" s="8">
        <f>AVERAGE(V7:V23)</f>
        <v>5.578571428571429</v>
      </c>
      <c r="W25" s="6"/>
      <c r="X25" s="1"/>
      <c r="Y25" s="1"/>
      <c r="Z25" s="1"/>
      <c r="AA25" s="1"/>
      <c r="AB25" s="1"/>
    </row>
    <row r="26" spans="1:28" ht="12.75">
      <c r="A26" s="3"/>
      <c r="B26" s="1"/>
      <c r="C26" s="1"/>
      <c r="D26" s="1"/>
      <c r="E26" s="6"/>
      <c r="F26" s="1"/>
      <c r="G26" s="16"/>
      <c r="H26" s="4"/>
      <c r="I26" s="4"/>
      <c r="J26" s="4"/>
      <c r="K26" s="20"/>
      <c r="L26" s="5"/>
      <c r="M26" s="4"/>
      <c r="N26" s="4"/>
      <c r="O26" s="4"/>
      <c r="P26" s="4"/>
      <c r="Q26" s="4"/>
      <c r="R26" s="6"/>
      <c r="S26" s="4"/>
      <c r="U26" s="25" t="s">
        <v>1004</v>
      </c>
      <c r="V26" s="8">
        <f>MEDIAN(V7:V23)</f>
        <v>5.1</v>
      </c>
      <c r="W26" s="6"/>
      <c r="X26" s="1"/>
      <c r="Y26" s="1"/>
      <c r="Z26" s="1"/>
      <c r="AA26" s="1"/>
      <c r="AB26" s="1"/>
    </row>
    <row r="27" spans="1:28" ht="12.75">
      <c r="A27" s="3"/>
      <c r="B27" s="1"/>
      <c r="C27" s="1"/>
      <c r="D27" s="1"/>
      <c r="E27" s="6"/>
      <c r="F27" s="1"/>
      <c r="G27" s="16"/>
      <c r="H27" s="4"/>
      <c r="I27" s="4"/>
      <c r="J27" s="4"/>
      <c r="K27" s="20"/>
      <c r="L27" s="5"/>
      <c r="M27" s="4"/>
      <c r="N27" s="4"/>
      <c r="O27" s="4"/>
      <c r="P27" s="4"/>
      <c r="Q27" s="4"/>
      <c r="R27" s="6"/>
      <c r="S27" s="4"/>
      <c r="T27" s="27"/>
      <c r="U27" s="6"/>
      <c r="V27" s="8"/>
      <c r="W27" s="6"/>
      <c r="X27" s="1"/>
      <c r="Y27" s="1"/>
      <c r="Z27" s="1"/>
      <c r="AA27" s="1"/>
      <c r="AB27" s="1"/>
    </row>
    <row r="28" spans="1:28" ht="12.75">
      <c r="A28" s="3" t="s">
        <v>387</v>
      </c>
      <c r="B28" s="1" t="s">
        <v>388</v>
      </c>
      <c r="C28" s="1" t="s">
        <v>389</v>
      </c>
      <c r="D28" s="1" t="s">
        <v>280</v>
      </c>
      <c r="E28" s="6" t="str">
        <f>HYPERLINK("https://www.bioscidb.com/browse/deal_bg/3898","Link")</f>
        <v>Link</v>
      </c>
      <c r="F28" s="1" t="s">
        <v>27</v>
      </c>
      <c r="G28" s="16" t="s">
        <v>30</v>
      </c>
      <c r="H28" s="4">
        <v>925</v>
      </c>
      <c r="I28" s="4">
        <v>900</v>
      </c>
      <c r="J28" s="4" t="s">
        <v>14</v>
      </c>
      <c r="K28" s="20">
        <f>I28/H28</f>
        <v>0.972972972972973</v>
      </c>
      <c r="L28" s="5" t="s">
        <v>19</v>
      </c>
      <c r="M28" s="4" t="s">
        <v>14</v>
      </c>
      <c r="N28" s="4"/>
      <c r="O28" s="4" t="s">
        <v>14</v>
      </c>
      <c r="P28" s="4"/>
      <c r="Q28" s="4">
        <v>25</v>
      </c>
      <c r="R28" s="6" t="str">
        <f>HYPERLINK("https://www.bioscidb.com/tag/gettag/371eb96a-1b8f-4e02-91c0-92f03e658162","Tag")</f>
        <v>Tag</v>
      </c>
      <c r="S28" s="4" t="s">
        <v>14</v>
      </c>
      <c r="T28" s="27"/>
      <c r="U28" s="4"/>
      <c r="V28" s="8"/>
      <c r="W28" s="4"/>
      <c r="X28" s="1" t="s">
        <v>14</v>
      </c>
      <c r="Y28" s="1" t="s">
        <v>14</v>
      </c>
      <c r="Z28" s="1" t="s">
        <v>391</v>
      </c>
      <c r="AA28" s="1" t="s">
        <v>14</v>
      </c>
      <c r="AB28" s="1" t="s">
        <v>390</v>
      </c>
    </row>
    <row r="29" spans="1:28" ht="12.75">
      <c r="A29" s="3" t="s">
        <v>904</v>
      </c>
      <c r="B29" s="1" t="s">
        <v>905</v>
      </c>
      <c r="C29" s="1" t="s">
        <v>906</v>
      </c>
      <c r="D29" s="1" t="s">
        <v>56</v>
      </c>
      <c r="E29" s="6" t="str">
        <f>HYPERLINK("https://www.bioscidb.com/browse/deal_bg/15157","Link")</f>
        <v>Link</v>
      </c>
      <c r="F29" s="1" t="s">
        <v>27</v>
      </c>
      <c r="G29" s="16" t="s">
        <v>907</v>
      </c>
      <c r="H29" s="4">
        <v>915</v>
      </c>
      <c r="I29" s="4">
        <v>870</v>
      </c>
      <c r="J29" s="4" t="s">
        <v>14</v>
      </c>
      <c r="K29" s="20">
        <f>I29/H29</f>
        <v>0.9508196721311475</v>
      </c>
      <c r="L29" s="5" t="s">
        <v>19</v>
      </c>
      <c r="M29" s="4">
        <v>45</v>
      </c>
      <c r="N29" s="6" t="str">
        <f>HYPERLINK("https://www.bioscidb.com/tag/gettag/ce7b6dd6-4193-431c-b89d-631a435a77d7","Tag")</f>
        <v>Tag</v>
      </c>
      <c r="O29" s="4" t="s">
        <v>14</v>
      </c>
      <c r="P29" s="4"/>
      <c r="Q29" s="4" t="s">
        <v>14</v>
      </c>
      <c r="R29" s="4"/>
      <c r="S29" s="4" t="s">
        <v>14</v>
      </c>
      <c r="T29" s="26" t="s">
        <v>1001</v>
      </c>
      <c r="U29" s="6" t="str">
        <f>HYPERLINK("https://www.bioscidb.com/tag/gettag/62e34de5-5a62-4ef8-b653-3a43712cc5ba","Tag")</f>
        <v>Tag</v>
      </c>
      <c r="V29" s="9">
        <v>3.2</v>
      </c>
      <c r="W29" s="6" t="str">
        <f>HYPERLINK("https://www.bioscidb.com/tag/gettag/6e14c01e-1d1f-4bb5-8487-b715e2258da6","Tag")</f>
        <v>Tag</v>
      </c>
      <c r="X29" s="1" t="s">
        <v>211</v>
      </c>
      <c r="Y29" s="1" t="s">
        <v>14</v>
      </c>
      <c r="Z29" s="1" t="s">
        <v>123</v>
      </c>
      <c r="AA29" s="1" t="s">
        <v>22</v>
      </c>
      <c r="AB29" s="1" t="s">
        <v>908</v>
      </c>
    </row>
    <row r="30" spans="1:28" ht="25.5">
      <c r="A30" s="3" t="s">
        <v>34</v>
      </c>
      <c r="B30" s="1" t="s">
        <v>406</v>
      </c>
      <c r="C30" s="1" t="s">
        <v>407</v>
      </c>
      <c r="D30" s="1" t="s">
        <v>43</v>
      </c>
      <c r="E30" s="6" t="str">
        <f>HYPERLINK("https://www.bioscidb.com/browse/deal_bg/2219","Link")</f>
        <v>Link</v>
      </c>
      <c r="F30" s="1" t="s">
        <v>15</v>
      </c>
      <c r="G30" s="16" t="s">
        <v>30</v>
      </c>
      <c r="H30" s="4">
        <v>851</v>
      </c>
      <c r="I30" s="4">
        <v>276</v>
      </c>
      <c r="J30" s="4" t="s">
        <v>14</v>
      </c>
      <c r="K30" s="20">
        <f>I30/H30</f>
        <v>0.32432432432432434</v>
      </c>
      <c r="L30" s="5" t="s">
        <v>19</v>
      </c>
      <c r="M30" s="4">
        <v>275</v>
      </c>
      <c r="N30" s="6" t="str">
        <f>HYPERLINK("https://www.bioscidb.com/tag/gettag/65ecba52-9af7-4a86-82a6-eb21a0b80c72","Tag")</f>
        <v>Tag</v>
      </c>
      <c r="O30" s="4">
        <v>300</v>
      </c>
      <c r="P30" s="6" t="str">
        <f>HYPERLINK("https://www.bioscidb.com/tag/gettag/eeeae234-5e31-4cc2-a87d-519cabf40b34","Tag")</f>
        <v>Tag</v>
      </c>
      <c r="Q30" s="4" t="s">
        <v>14</v>
      </c>
      <c r="R30" s="4"/>
      <c r="S30" s="4" t="s">
        <v>14</v>
      </c>
      <c r="T30" s="26" t="s">
        <v>1015</v>
      </c>
      <c r="U30" s="6" t="str">
        <f>HYPERLINK("https://www.bioscidb.com/tag/gettag/13e7e7b9-ea64-4ef4-9db9-b5423b53cb00","Tag")</f>
        <v>Tag</v>
      </c>
      <c r="V30" s="9">
        <v>6.5</v>
      </c>
      <c r="W30" s="6" t="str">
        <f>HYPERLINK("https://www.bioscidb.com/tag/gettag/066e68b3-2aa6-434d-a34f-c3c56ea3a190","Tag")</f>
        <v>Tag</v>
      </c>
      <c r="X30" s="1" t="s">
        <v>14</v>
      </c>
      <c r="Y30" s="1" t="s">
        <v>23</v>
      </c>
      <c r="Z30" s="1" t="s">
        <v>55</v>
      </c>
      <c r="AA30" s="1" t="s">
        <v>22</v>
      </c>
      <c r="AB30" s="1" t="s">
        <v>408</v>
      </c>
    </row>
    <row r="31" spans="1:28" ht="12.75">
      <c r="A31" s="3" t="s">
        <v>416</v>
      </c>
      <c r="B31" s="1" t="s">
        <v>422</v>
      </c>
      <c r="C31" s="1" t="s">
        <v>247</v>
      </c>
      <c r="D31" s="17" t="s">
        <v>159</v>
      </c>
      <c r="E31" s="6" t="str">
        <f>HYPERLINK("https://www.bioscidb.com/browse/deal_bg/3977","Link")</f>
        <v>Link</v>
      </c>
      <c r="F31" s="1" t="s">
        <v>27</v>
      </c>
      <c r="G31" s="16" t="s">
        <v>30</v>
      </c>
      <c r="H31" s="4">
        <v>840</v>
      </c>
      <c r="I31" s="4">
        <v>680</v>
      </c>
      <c r="J31" s="4" t="s">
        <v>14</v>
      </c>
      <c r="K31" s="20">
        <f>I31/H31</f>
        <v>0.8095238095238095</v>
      </c>
      <c r="L31" s="5" t="s">
        <v>19</v>
      </c>
      <c r="M31" s="4">
        <v>160</v>
      </c>
      <c r="N31" s="6" t="str">
        <f>HYPERLINK("https://www.bioscidb.com/tag/gettag/9523c240-6cf0-4b18-9497-dae18cc9571d","Tag")</f>
        <v>Tag</v>
      </c>
      <c r="O31" s="4" t="s">
        <v>14</v>
      </c>
      <c r="P31" s="4"/>
      <c r="Q31" s="4" t="s">
        <v>14</v>
      </c>
      <c r="R31" s="4"/>
      <c r="S31" s="4" t="s">
        <v>14</v>
      </c>
      <c r="T31" s="26" t="s">
        <v>1001</v>
      </c>
      <c r="U31" s="6" t="str">
        <f>HYPERLINK("https://www.bioscidb.com/tag/gettag/0125f1d7-f6b3-402d-91ab-96310899f2b3","Tag")</f>
        <v>Tag</v>
      </c>
      <c r="V31" s="9">
        <v>2.2</v>
      </c>
      <c r="W31" s="6" t="str">
        <f>HYPERLINK("https://www.bioscidb.com/tag/gettag/07b41d19-668f-459c-8ad9-32d61161f536","Tag")</f>
        <v>Tag</v>
      </c>
      <c r="X31" s="1" t="s">
        <v>211</v>
      </c>
      <c r="Y31" s="1" t="s">
        <v>23</v>
      </c>
      <c r="Z31" s="1" t="s">
        <v>317</v>
      </c>
      <c r="AA31" s="1" t="s">
        <v>383</v>
      </c>
      <c r="AB31" s="1" t="s">
        <v>423</v>
      </c>
    </row>
    <row r="32" spans="1:28" ht="12.75">
      <c r="A32" s="3" t="s">
        <v>401</v>
      </c>
      <c r="B32" s="1" t="s">
        <v>402</v>
      </c>
      <c r="C32" s="1" t="s">
        <v>403</v>
      </c>
      <c r="D32" s="1" t="s">
        <v>56</v>
      </c>
      <c r="E32" s="6" t="str">
        <f>HYPERLINK("https://www.bioscidb.com/browse/deal_bg/3795","Link")</f>
        <v>Link</v>
      </c>
      <c r="F32" s="1" t="s">
        <v>27</v>
      </c>
      <c r="G32" s="16" t="s">
        <v>82</v>
      </c>
      <c r="H32" s="4">
        <v>821.8</v>
      </c>
      <c r="I32" s="4">
        <v>675</v>
      </c>
      <c r="J32" s="4" t="s">
        <v>14</v>
      </c>
      <c r="K32" s="20">
        <f>I32/H32</f>
        <v>0.8213677293745437</v>
      </c>
      <c r="L32" s="5" t="s">
        <v>19</v>
      </c>
      <c r="M32" s="4">
        <v>58.7</v>
      </c>
      <c r="N32" s="4"/>
      <c r="O32" s="4" t="s">
        <v>14</v>
      </c>
      <c r="P32" s="6" t="str">
        <f>HYPERLINK("https://www.bioscidb.com/tag/gettag/f503ad74-6dc7-41c2-83cb-ef102a969aae","Tag")</f>
        <v>Tag</v>
      </c>
      <c r="Q32" s="4">
        <v>88.1</v>
      </c>
      <c r="R32" s="6" t="str">
        <f>HYPERLINK("https://www.bioscidb.com/tag/gettag/46a441df-6a56-4315-9fc5-4e866319bb37","Tag")</f>
        <v>Tag</v>
      </c>
      <c r="S32" s="4" t="s">
        <v>14</v>
      </c>
      <c r="T32" s="26" t="s">
        <v>1002</v>
      </c>
      <c r="U32" s="6" t="str">
        <f>HYPERLINK("https://www.bioscidb.com/tag/gettag/d6054670-87b2-42f3-9934-5e8c5b880447","Tag")</f>
        <v>Tag</v>
      </c>
      <c r="V32" s="8">
        <v>4</v>
      </c>
      <c r="W32" s="6" t="str">
        <f>HYPERLINK("https://www.bioscidb.com/tag/gettag/e88353cf-77d0-41a8-a633-ce8858d6ddf3","Tag")</f>
        <v>Tag</v>
      </c>
      <c r="X32" s="1" t="s">
        <v>14</v>
      </c>
      <c r="Y32" s="1" t="s">
        <v>66</v>
      </c>
      <c r="Z32" s="1" t="s">
        <v>83</v>
      </c>
      <c r="AA32" s="1" t="s">
        <v>405</v>
      </c>
      <c r="AB32" s="1" t="s">
        <v>404</v>
      </c>
    </row>
    <row r="33" spans="1:28" ht="12.75">
      <c r="A33" s="3" t="s">
        <v>68</v>
      </c>
      <c r="B33" s="1" t="s">
        <v>241</v>
      </c>
      <c r="C33" s="1" t="s">
        <v>242</v>
      </c>
      <c r="D33" s="1" t="s">
        <v>50</v>
      </c>
      <c r="E33" s="6" t="str">
        <f>HYPERLINK("https://www.bioscidb.com/browse/deal_bg/1015","Link")</f>
        <v>Link</v>
      </c>
      <c r="F33" s="1" t="s">
        <v>27</v>
      </c>
      <c r="G33" s="16" t="s">
        <v>82</v>
      </c>
      <c r="H33" s="4">
        <v>812.8</v>
      </c>
      <c r="I33" s="4">
        <v>704.4</v>
      </c>
      <c r="J33" s="4" t="s">
        <v>14</v>
      </c>
      <c r="K33" s="20">
        <f>I33/H33</f>
        <v>0.8666338582677166</v>
      </c>
      <c r="L33" s="5" t="s">
        <v>19</v>
      </c>
      <c r="M33" s="4" t="s">
        <v>14</v>
      </c>
      <c r="N33" s="4"/>
      <c r="O33" s="4" t="s">
        <v>14</v>
      </c>
      <c r="P33" s="4"/>
      <c r="Q33" s="4">
        <v>108.4</v>
      </c>
      <c r="R33" s="6" t="str">
        <f>HYPERLINK("https://www.bioscidb.com/tag/gettag/e1f36acf-ca48-4f0c-98e5-2835e41cb740","Tag")</f>
        <v>Tag</v>
      </c>
      <c r="S33" s="4" t="s">
        <v>14</v>
      </c>
      <c r="T33" s="26" t="s">
        <v>1001</v>
      </c>
      <c r="U33" s="6" t="str">
        <f>HYPERLINK("https://www.bioscidb.com/tag/gettag/95342e6a-a515-4fdf-977e-db4b0bdeb897","Tag")</f>
        <v>Tag</v>
      </c>
      <c r="V33" s="8">
        <v>3.5</v>
      </c>
      <c r="W33" s="6" t="str">
        <f>HYPERLINK("https://www.bioscidb.com/tag/gettag/d36a2b33-b7e3-4def-a423-081ac2bf399f","Tag")</f>
        <v>Tag</v>
      </c>
      <c r="X33" s="1" t="s">
        <v>14</v>
      </c>
      <c r="Y33" s="1" t="s">
        <v>79</v>
      </c>
      <c r="Z33" s="1" t="s">
        <v>83</v>
      </c>
      <c r="AA33" s="1" t="s">
        <v>22</v>
      </c>
      <c r="AB33" s="1" t="s">
        <v>243</v>
      </c>
    </row>
    <row r="34" spans="1:28" ht="12.75">
      <c r="A34" s="3" t="s">
        <v>68</v>
      </c>
      <c r="B34" s="1" t="s">
        <v>334</v>
      </c>
      <c r="C34" s="1" t="s">
        <v>242</v>
      </c>
      <c r="D34" s="1" t="s">
        <v>56</v>
      </c>
      <c r="E34" s="6" t="str">
        <f>HYPERLINK("https://www.bioscidb.com/browse/deal_bg/1014","Link")</f>
        <v>Link</v>
      </c>
      <c r="F34" s="1" t="s">
        <v>27</v>
      </c>
      <c r="G34" s="16" t="s">
        <v>82</v>
      </c>
      <c r="H34" s="4">
        <v>804.4</v>
      </c>
      <c r="I34" s="4">
        <v>550.5</v>
      </c>
      <c r="J34" s="4" t="s">
        <v>14</v>
      </c>
      <c r="K34" s="20">
        <f>I34/H34</f>
        <v>0.6843610144206862</v>
      </c>
      <c r="L34" s="5" t="s">
        <v>19</v>
      </c>
      <c r="M34" s="4" t="s">
        <v>14</v>
      </c>
      <c r="N34" s="4"/>
      <c r="O34" s="4" t="s">
        <v>14</v>
      </c>
      <c r="P34" s="4"/>
      <c r="Q34" s="4">
        <v>253.9</v>
      </c>
      <c r="R34" s="6" t="str">
        <f>HYPERLINK("https://www.bioscidb.com/tag/gettag/cd89566b-8ab5-49b3-802d-d18ae9061d89","Tag")</f>
        <v>Tag</v>
      </c>
      <c r="S34" s="4" t="s">
        <v>14</v>
      </c>
      <c r="T34" s="26" t="s">
        <v>1001</v>
      </c>
      <c r="U34" s="6" t="str">
        <f>HYPERLINK("https://www.bioscidb.com/tag/gettag/858c0345-f032-4b08-9bba-bacea9a99454","Tag")</f>
        <v>Tag</v>
      </c>
      <c r="V34" s="8">
        <v>2.5</v>
      </c>
      <c r="W34" s="6" t="str">
        <f>HYPERLINK("https://www.bioscidb.com/tag/gettag/8a55e013-c55f-427d-80b9-9703288b21ee","Tag")</f>
        <v>Tag</v>
      </c>
      <c r="X34" s="1" t="s">
        <v>14</v>
      </c>
      <c r="Y34" s="1" t="s">
        <v>79</v>
      </c>
      <c r="Z34" s="1" t="s">
        <v>83</v>
      </c>
      <c r="AA34" s="1" t="s">
        <v>22</v>
      </c>
      <c r="AB34" s="1" t="s">
        <v>335</v>
      </c>
    </row>
    <row r="35" spans="1:28" ht="25.5">
      <c r="A35" s="3" t="s">
        <v>294</v>
      </c>
      <c r="B35" s="1" t="s">
        <v>295</v>
      </c>
      <c r="C35" s="1" t="s">
        <v>296</v>
      </c>
      <c r="D35" s="1" t="s">
        <v>131</v>
      </c>
      <c r="E35" s="6" t="str">
        <f>HYPERLINK("https://www.bioscidb.com/browse/deal_bg/8020","Link")</f>
        <v>Link</v>
      </c>
      <c r="F35" s="1" t="s">
        <v>27</v>
      </c>
      <c r="G35" s="16" t="s">
        <v>30</v>
      </c>
      <c r="H35" s="4">
        <v>725</v>
      </c>
      <c r="I35" s="4">
        <v>525</v>
      </c>
      <c r="J35" s="4" t="s">
        <v>14</v>
      </c>
      <c r="K35" s="20">
        <f>I35/H35</f>
        <v>0.7241379310344828</v>
      </c>
      <c r="L35" s="5" t="s">
        <v>19</v>
      </c>
      <c r="M35" s="4" t="s">
        <v>14</v>
      </c>
      <c r="N35" s="4"/>
      <c r="O35" s="4" t="s">
        <v>14</v>
      </c>
      <c r="P35" s="4"/>
      <c r="Q35" s="4">
        <v>200</v>
      </c>
      <c r="R35" s="6" t="str">
        <f>HYPERLINK("https://www.bioscidb.com/tag/gettag/81775678-3163-44e3-b0bd-19c43528a3a5","Tag")</f>
        <v>Tag</v>
      </c>
      <c r="S35" s="4" t="s">
        <v>14</v>
      </c>
      <c r="T35" s="26" t="s">
        <v>1016</v>
      </c>
      <c r="U35" s="6" t="str">
        <f>HYPERLINK("https://www.bioscidb.com/tag/gettag/eb2d287c-4c4c-405a-871c-7fb08ec31a16","Tag")</f>
        <v>Tag</v>
      </c>
      <c r="V35" s="8">
        <v>1.5</v>
      </c>
      <c r="W35" s="6" t="str">
        <f>HYPERLINK("https://www.bioscidb.com/tag/gettag/96c7c4ad-8b03-427b-a57d-96a53457f0b4","Tag")</f>
        <v>Tag</v>
      </c>
      <c r="X35" s="1" t="s">
        <v>14</v>
      </c>
      <c r="Y35" s="1" t="s">
        <v>14</v>
      </c>
      <c r="Z35" s="1" t="s">
        <v>189</v>
      </c>
      <c r="AA35" s="1" t="s">
        <v>131</v>
      </c>
      <c r="AB35" s="1" t="s">
        <v>14</v>
      </c>
    </row>
    <row r="36" spans="1:28" ht="12.75">
      <c r="A36" s="3" t="s">
        <v>727</v>
      </c>
      <c r="B36" s="1" t="s">
        <v>741</v>
      </c>
      <c r="C36" s="1" t="s">
        <v>275</v>
      </c>
      <c r="D36" s="17" t="s">
        <v>56</v>
      </c>
      <c r="E36" s="6" t="str">
        <f>HYPERLINK("https://www.bioscidb.com/browse/deal_bg/13496","Link")</f>
        <v>Link</v>
      </c>
      <c r="F36" s="1" t="s">
        <v>45</v>
      </c>
      <c r="G36" s="16" t="s">
        <v>742</v>
      </c>
      <c r="H36" s="4">
        <v>723</v>
      </c>
      <c r="I36" s="4">
        <v>575</v>
      </c>
      <c r="J36" s="4">
        <v>48</v>
      </c>
      <c r="K36" s="20">
        <f>(I36+J36)/H36</f>
        <v>0.8616874135546335</v>
      </c>
      <c r="L36" s="5" t="s">
        <v>19</v>
      </c>
      <c r="M36" s="4" t="s">
        <v>14</v>
      </c>
      <c r="N36" s="4"/>
      <c r="O36" s="4" t="s">
        <v>14</v>
      </c>
      <c r="P36" s="4"/>
      <c r="Q36" s="4">
        <v>100</v>
      </c>
      <c r="R36" s="6" t="str">
        <f>HYPERLINK("https://www.bioscidb.com/tag/gettag/f259df4d-6a4c-4264-bb90-f4ae4206d02b","Tag")</f>
        <v>Tag</v>
      </c>
      <c r="S36" s="4" t="s">
        <v>14</v>
      </c>
      <c r="T36" s="26" t="s">
        <v>1017</v>
      </c>
      <c r="U36" s="6" t="str">
        <f>HYPERLINK("https://www.bioscidb.com/tag/gettag/b1702d60-4071-404a-9705-78efb3e46d89","Tag")</f>
        <v>Tag</v>
      </c>
      <c r="V36" s="9">
        <v>4.3</v>
      </c>
      <c r="W36" s="6" t="str">
        <f>HYPERLINK("https://www.bioscidb.com/tag/gettag/720517b4-74e9-4718-9a31-5208b12c0372","Tag")</f>
        <v>Tag</v>
      </c>
      <c r="X36" s="1" t="s">
        <v>14</v>
      </c>
      <c r="Y36" s="1" t="s">
        <v>14</v>
      </c>
      <c r="Z36" s="1" t="s">
        <v>744</v>
      </c>
      <c r="AA36" s="1" t="s">
        <v>89</v>
      </c>
      <c r="AB36" s="1" t="s">
        <v>743</v>
      </c>
    </row>
    <row r="37" spans="1:28" ht="25.5">
      <c r="A37" s="3" t="s">
        <v>168</v>
      </c>
      <c r="B37" s="1" t="s">
        <v>326</v>
      </c>
      <c r="C37" s="1" t="s">
        <v>327</v>
      </c>
      <c r="D37" s="1" t="s">
        <v>56</v>
      </c>
      <c r="E37" s="6" t="str">
        <f>HYPERLINK("https://www.bioscidb.com/browse/deal_bg/5252","Link")</f>
        <v>Link</v>
      </c>
      <c r="F37" s="1" t="s">
        <v>27</v>
      </c>
      <c r="G37" s="16" t="s">
        <v>30</v>
      </c>
      <c r="H37" s="4">
        <v>700</v>
      </c>
      <c r="I37" s="4">
        <v>650</v>
      </c>
      <c r="J37" s="4" t="s">
        <v>14</v>
      </c>
      <c r="K37" s="20">
        <f>I37/H37</f>
        <v>0.9285714285714286</v>
      </c>
      <c r="L37" s="5" t="s">
        <v>19</v>
      </c>
      <c r="M37" s="4" t="s">
        <v>14</v>
      </c>
      <c r="N37" s="4"/>
      <c r="O37" s="4" t="s">
        <v>14</v>
      </c>
      <c r="P37" s="4"/>
      <c r="Q37" s="4">
        <v>50</v>
      </c>
      <c r="R37" s="6" t="str">
        <f>HYPERLINK("https://www.bioscidb.com/tag/gettag/8be3ca47-b345-44a1-8aa6-0ffd20eee8a3","Tag")</f>
        <v>Tag</v>
      </c>
      <c r="S37" s="4" t="s">
        <v>14</v>
      </c>
      <c r="T37" s="26" t="s">
        <v>1018</v>
      </c>
      <c r="U37" s="6" t="str">
        <f>HYPERLINK("https://www.bioscidb.com/tag/gettag/8f0628c1-d8f7-445e-8eba-898fc75635ac","Tag")</f>
        <v>Tag</v>
      </c>
      <c r="V37" s="8"/>
      <c r="W37" s="4"/>
      <c r="X37" s="1" t="s">
        <v>14</v>
      </c>
      <c r="Y37" s="1" t="s">
        <v>14</v>
      </c>
      <c r="Z37" s="1" t="s">
        <v>55</v>
      </c>
      <c r="AA37" s="1" t="s">
        <v>329</v>
      </c>
      <c r="AB37" s="1" t="s">
        <v>328</v>
      </c>
    </row>
    <row r="38" spans="1:28" ht="25.5">
      <c r="A38" s="3" t="s">
        <v>392</v>
      </c>
      <c r="B38" s="1" t="s">
        <v>393</v>
      </c>
      <c r="C38" s="1" t="s">
        <v>394</v>
      </c>
      <c r="D38" s="1" t="s">
        <v>56</v>
      </c>
      <c r="E38" s="6" t="str">
        <f>HYPERLINK("https://www.bioscidb.com/browse/deal_bg/2628","Link")</f>
        <v>Link</v>
      </c>
      <c r="F38" s="1" t="s">
        <v>27</v>
      </c>
      <c r="G38" s="16" t="s">
        <v>395</v>
      </c>
      <c r="H38" s="4">
        <v>658</v>
      </c>
      <c r="I38" s="4">
        <v>530</v>
      </c>
      <c r="J38" s="4" t="s">
        <v>14</v>
      </c>
      <c r="K38" s="20">
        <f>I38/H38</f>
        <v>0.8054711246200608</v>
      </c>
      <c r="L38" s="5" t="s">
        <v>19</v>
      </c>
      <c r="M38" s="4" t="s">
        <v>14</v>
      </c>
      <c r="N38" s="4"/>
      <c r="O38" s="4" t="s">
        <v>14</v>
      </c>
      <c r="P38" s="4"/>
      <c r="Q38" s="4">
        <v>128</v>
      </c>
      <c r="R38" s="6" t="str">
        <f>HYPERLINK("https://www.bioscidb.com/tag/gettag/1c8c1520-d129-4eb0-9ac4-d3fbcf0be0dd","Tag")</f>
        <v>Tag</v>
      </c>
      <c r="S38" s="4" t="s">
        <v>14</v>
      </c>
      <c r="T38" s="26" t="s">
        <v>1016</v>
      </c>
      <c r="U38" s="6" t="str">
        <f>HYPERLINK("https://www.bioscidb.com/tag/gettag/1bb183e8-3408-406b-b5fa-5462e8462bcf","Tag")</f>
        <v>Tag</v>
      </c>
      <c r="V38" s="8">
        <v>3.5</v>
      </c>
      <c r="W38" s="6" t="str">
        <f>HYPERLINK("https://www.bioscidb.com/tag/gettag/89eaf172-ac73-403e-8490-3e1860adac43","Tag")</f>
        <v>Tag</v>
      </c>
      <c r="X38" s="1" t="s">
        <v>14</v>
      </c>
      <c r="Y38" s="1" t="s">
        <v>66</v>
      </c>
      <c r="Z38" s="1" t="s">
        <v>139</v>
      </c>
      <c r="AA38" s="1" t="s">
        <v>22</v>
      </c>
      <c r="AB38" s="1" t="s">
        <v>396</v>
      </c>
    </row>
    <row r="39" spans="1:28" ht="12.75">
      <c r="A39" s="3" t="s">
        <v>306</v>
      </c>
      <c r="B39" s="1" t="s">
        <v>307</v>
      </c>
      <c r="C39" s="1" t="s">
        <v>138</v>
      </c>
      <c r="D39" s="17" t="s">
        <v>56</v>
      </c>
      <c r="E39" s="6" t="str">
        <f>HYPERLINK("https://www.bioscidb.com/browse/deal_bg/8385","Link")</f>
        <v>Link</v>
      </c>
      <c r="F39" s="1" t="s">
        <v>27</v>
      </c>
      <c r="G39" s="16" t="s">
        <v>182</v>
      </c>
      <c r="H39" s="4">
        <v>637</v>
      </c>
      <c r="I39" s="4">
        <v>370</v>
      </c>
      <c r="J39" s="4" t="s">
        <v>14</v>
      </c>
      <c r="K39" s="20">
        <f>I39/H39</f>
        <v>0.5808477237048666</v>
      </c>
      <c r="L39" s="5" t="s">
        <v>19</v>
      </c>
      <c r="M39" s="4" t="s">
        <v>14</v>
      </c>
      <c r="N39" s="4"/>
      <c r="O39" s="4">
        <v>267</v>
      </c>
      <c r="P39" s="4"/>
      <c r="Q39" s="4">
        <v>89</v>
      </c>
      <c r="R39" s="4"/>
      <c r="S39" s="4" t="s">
        <v>14</v>
      </c>
      <c r="T39" s="26" t="s">
        <v>1002</v>
      </c>
      <c r="U39" s="6" t="str">
        <f>HYPERLINK("https://www.bioscidb.com/tag/gettag/e281c795-7e0f-4ec6-b313-3077f3c7b0e2","Tag")</f>
        <v>Tag</v>
      </c>
      <c r="V39" s="8"/>
      <c r="W39" s="4"/>
      <c r="X39" s="1" t="s">
        <v>14</v>
      </c>
      <c r="Y39" s="1" t="s">
        <v>14</v>
      </c>
      <c r="Z39" s="1" t="s">
        <v>49</v>
      </c>
      <c r="AA39" s="1" t="s">
        <v>14</v>
      </c>
      <c r="AB39" s="1" t="s">
        <v>308</v>
      </c>
    </row>
    <row r="40" spans="1:28" ht="25.5">
      <c r="A40" s="3" t="s">
        <v>177</v>
      </c>
      <c r="B40" s="1" t="s">
        <v>323</v>
      </c>
      <c r="C40" s="1" t="s">
        <v>324</v>
      </c>
      <c r="D40" s="1" t="s">
        <v>56</v>
      </c>
      <c r="E40" s="6" t="str">
        <f>HYPERLINK("https://www.bioscidb.com/browse/deal_bg/6881","Link")</f>
        <v>Link</v>
      </c>
      <c r="F40" s="1" t="s">
        <v>27</v>
      </c>
      <c r="G40" s="16" t="s">
        <v>30</v>
      </c>
      <c r="H40" s="4">
        <v>635</v>
      </c>
      <c r="I40" s="4">
        <v>585</v>
      </c>
      <c r="J40" s="4" t="s">
        <v>14</v>
      </c>
      <c r="K40" s="20">
        <f>I40/H40</f>
        <v>0.9212598425196851</v>
      </c>
      <c r="L40" s="5" t="s">
        <v>19</v>
      </c>
      <c r="M40" s="4" t="s">
        <v>14</v>
      </c>
      <c r="N40" s="4"/>
      <c r="O40" s="4" t="s">
        <v>14</v>
      </c>
      <c r="P40" s="4"/>
      <c r="Q40" s="4">
        <v>50</v>
      </c>
      <c r="R40" s="6" t="str">
        <f>HYPERLINK("https://www.bioscidb.com/tag/gettag/34de1188-9f4e-4ce0-a814-38447ea417ef","Tag")</f>
        <v>Tag</v>
      </c>
      <c r="S40" s="4" t="s">
        <v>14</v>
      </c>
      <c r="T40" s="26" t="s">
        <v>1019</v>
      </c>
      <c r="U40" s="6" t="str">
        <f>HYPERLINK("https://www.bioscidb.com/tag/gettag/eb41dab4-a1e4-4a73-b609-e5d240e2d115","Tag")</f>
        <v>Tag</v>
      </c>
      <c r="V40" s="8">
        <v>2</v>
      </c>
      <c r="W40" s="6" t="str">
        <f>HYPERLINK("https://www.bioscidb.com/tag/gettag/cd528838-ce3c-46de-859d-001280aff82b","Tag")</f>
        <v>Tag</v>
      </c>
      <c r="X40" s="1" t="s">
        <v>14</v>
      </c>
      <c r="Y40" s="1" t="s">
        <v>14</v>
      </c>
      <c r="Z40" s="1" t="s">
        <v>325</v>
      </c>
      <c r="AA40" s="1" t="s">
        <v>89</v>
      </c>
      <c r="AB40" s="1" t="s">
        <v>14</v>
      </c>
    </row>
    <row r="41" spans="1:28" ht="25.5">
      <c r="A41" s="3" t="s">
        <v>294</v>
      </c>
      <c r="B41" s="1" t="s">
        <v>493</v>
      </c>
      <c r="C41" s="1" t="s">
        <v>263</v>
      </c>
      <c r="D41" s="1" t="s">
        <v>50</v>
      </c>
      <c r="E41" s="6" t="str">
        <f>HYPERLINK("https://www.bioscidb.com/browse/deal_bg/6961","Link")</f>
        <v>Link</v>
      </c>
      <c r="F41" s="1" t="s">
        <v>15</v>
      </c>
      <c r="G41" s="16" t="s">
        <v>30</v>
      </c>
      <c r="H41" s="4">
        <v>593.6</v>
      </c>
      <c r="I41" s="4">
        <v>493.6</v>
      </c>
      <c r="J41" s="4" t="s">
        <v>14</v>
      </c>
      <c r="K41" s="20">
        <f>I41/H41</f>
        <v>0.8315363881401617</v>
      </c>
      <c r="L41" s="5" t="s">
        <v>19</v>
      </c>
      <c r="M41" s="4" t="s">
        <v>14</v>
      </c>
      <c r="N41" s="4"/>
      <c r="O41" s="4" t="s">
        <v>14</v>
      </c>
      <c r="P41" s="4"/>
      <c r="Q41" s="4">
        <v>100</v>
      </c>
      <c r="R41" s="6" t="str">
        <f>HYPERLINK("https://www.bioscidb.com/tag/gettag/895f15c8-21b8-4eac-9327-5c4c496ad131","Tag")</f>
        <v>Tag</v>
      </c>
      <c r="S41" s="4" t="s">
        <v>14</v>
      </c>
      <c r="T41" s="26" t="s">
        <v>1020</v>
      </c>
      <c r="U41" s="6" t="str">
        <f>HYPERLINK("https://www.bioscidb.com/tag/gettag/9f8b0e3f-6159-44ed-9777-364bc6e7d446","Tag")</f>
        <v>Tag</v>
      </c>
      <c r="V41" s="8">
        <v>7</v>
      </c>
      <c r="W41" s="6" t="str">
        <f>HYPERLINK("https://www.bioscidb.com/tag/gettag/4996e803-e38c-4935-9444-0100c55d7482","Tag")</f>
        <v>Tag</v>
      </c>
      <c r="X41" s="1" t="s">
        <v>14</v>
      </c>
      <c r="Y41" s="1" t="s">
        <v>66</v>
      </c>
      <c r="Z41" s="1" t="s">
        <v>83</v>
      </c>
      <c r="AA41" s="1" t="s">
        <v>14</v>
      </c>
      <c r="AB41" s="1" t="s">
        <v>14</v>
      </c>
    </row>
    <row r="42" spans="1:28" ht="12.75">
      <c r="A42" s="3" t="s">
        <v>762</v>
      </c>
      <c r="B42" s="1" t="s">
        <v>842</v>
      </c>
      <c r="C42" s="1" t="s">
        <v>47</v>
      </c>
      <c r="D42" s="17" t="s">
        <v>67</v>
      </c>
      <c r="E42" s="6" t="str">
        <f>HYPERLINK("https://www.bioscidb.com/browse/deal_bg/14200","Link")</f>
        <v>Link</v>
      </c>
      <c r="F42" s="1" t="s">
        <v>45</v>
      </c>
      <c r="G42" s="16" t="s">
        <v>843</v>
      </c>
      <c r="H42" s="4">
        <v>560</v>
      </c>
      <c r="I42" s="4" t="s">
        <v>14</v>
      </c>
      <c r="J42" s="4">
        <v>30</v>
      </c>
      <c r="K42" s="20">
        <f>J42/H42</f>
        <v>0.05357142857142857</v>
      </c>
      <c r="L42" s="5" t="s">
        <v>19</v>
      </c>
      <c r="M42" s="4">
        <v>30</v>
      </c>
      <c r="N42" s="6" t="str">
        <f>HYPERLINK("https://www.bioscidb.com/tag/gettag/5a5419fc-7c75-4253-aebd-351499ff0b12","Tag")</f>
        <v>Tag</v>
      </c>
      <c r="O42" s="4">
        <v>250</v>
      </c>
      <c r="P42" s="6" t="str">
        <f>HYPERLINK("https://www.bioscidb.com/tag/gettag/a8b5b50b-5f48-44a1-a198-521591993686","Tag")</f>
        <v>Tag</v>
      </c>
      <c r="Q42" s="4">
        <v>250</v>
      </c>
      <c r="R42" s="6" t="str">
        <f>HYPERLINK("https://www.bioscidb.com/tag/gettag/65172dea-f553-4d82-aa2a-5ab3a517c33c","Tag")</f>
        <v>Tag</v>
      </c>
      <c r="S42" s="4" t="s">
        <v>14</v>
      </c>
      <c r="T42" s="26" t="s">
        <v>1017</v>
      </c>
      <c r="U42" s="6" t="str">
        <f>HYPERLINK("https://www.bioscidb.com/tag/gettag/cd5a854d-5f8d-4b85-ad22-e0eade24368d","Tag")</f>
        <v>Tag</v>
      </c>
      <c r="V42" s="8"/>
      <c r="W42" s="4"/>
      <c r="X42" s="1" t="s">
        <v>14</v>
      </c>
      <c r="Y42" s="1" t="s">
        <v>23</v>
      </c>
      <c r="Z42" s="1" t="s">
        <v>123</v>
      </c>
      <c r="AA42" s="1" t="s">
        <v>84</v>
      </c>
      <c r="AB42" s="1" t="s">
        <v>844</v>
      </c>
    </row>
    <row r="43" spans="1:28" ht="12.75">
      <c r="A43" s="3" t="s">
        <v>26</v>
      </c>
      <c r="B43" s="1" t="s">
        <v>520</v>
      </c>
      <c r="C43" s="1" t="s">
        <v>521</v>
      </c>
      <c r="D43" s="1" t="s">
        <v>56</v>
      </c>
      <c r="E43" s="6" t="str">
        <f>HYPERLINK("https://www.bioscidb.com/browse/deal_bg/11870","Link")</f>
        <v>Link</v>
      </c>
      <c r="F43" s="1" t="s">
        <v>15</v>
      </c>
      <c r="G43" s="16" t="s">
        <v>30</v>
      </c>
      <c r="H43" s="4">
        <v>536</v>
      </c>
      <c r="I43" s="4">
        <v>494</v>
      </c>
      <c r="J43" s="4" t="s">
        <v>14</v>
      </c>
      <c r="K43" s="20">
        <f>I43/H43</f>
        <v>0.9216417910447762</v>
      </c>
      <c r="L43" s="5" t="s">
        <v>19</v>
      </c>
      <c r="M43" s="4" t="s">
        <v>14</v>
      </c>
      <c r="N43" s="4"/>
      <c r="O43" s="4" t="s">
        <v>14</v>
      </c>
      <c r="P43" s="4"/>
      <c r="Q43" s="4">
        <v>42</v>
      </c>
      <c r="R43" s="6" t="str">
        <f>HYPERLINK("https://www.bioscidb.com/tag/gettag/7f1e4a7e-47b6-4e71-84a3-988ded09362d","Tag")</f>
        <v>Tag</v>
      </c>
      <c r="S43" s="4" t="s">
        <v>14</v>
      </c>
      <c r="U43" s="4"/>
      <c r="V43" s="8">
        <v>1</v>
      </c>
      <c r="W43" s="6" t="str">
        <f>HYPERLINK("https://www.bioscidb.com/tag/gettag/c1aba568-47b1-4057-9430-2d05f76f0ad9","Tag")</f>
        <v>Tag</v>
      </c>
      <c r="X43" s="1" t="s">
        <v>14</v>
      </c>
      <c r="Y43" s="1" t="s">
        <v>66</v>
      </c>
      <c r="Z43" s="1" t="s">
        <v>317</v>
      </c>
      <c r="AA43" s="1" t="s">
        <v>178</v>
      </c>
      <c r="AB43" s="1" t="s">
        <v>522</v>
      </c>
    </row>
    <row r="44" spans="1:28" ht="12.75">
      <c r="A44" s="3" t="s">
        <v>42</v>
      </c>
      <c r="B44" s="1" t="s">
        <v>808</v>
      </c>
      <c r="C44" s="1" t="s">
        <v>466</v>
      </c>
      <c r="D44" s="1" t="s">
        <v>56</v>
      </c>
      <c r="E44" s="6" t="str">
        <f>HYPERLINK("https://www.bioscidb.com/browse/deal_bg/14415","Link")</f>
        <v>Link</v>
      </c>
      <c r="F44" s="1" t="s">
        <v>15</v>
      </c>
      <c r="G44" s="16" t="s">
        <v>30</v>
      </c>
      <c r="H44" s="4">
        <v>525</v>
      </c>
      <c r="I44" s="4">
        <v>285</v>
      </c>
      <c r="J44" s="4" t="s">
        <v>14</v>
      </c>
      <c r="K44" s="20">
        <f>I44/H44</f>
        <v>0.5428571428571428</v>
      </c>
      <c r="L44" s="5" t="s">
        <v>19</v>
      </c>
      <c r="M44" s="4" t="s">
        <v>14</v>
      </c>
      <c r="N44" s="4"/>
      <c r="O44" s="4">
        <v>120</v>
      </c>
      <c r="P44" s="6" t="str">
        <f>HYPERLINK("https://www.bioscidb.com/tag/gettag/db35e93f-0d4a-4654-acb8-d82f165993eb","Tag")</f>
        <v>Tag</v>
      </c>
      <c r="Q44" s="4">
        <v>120</v>
      </c>
      <c r="R44" s="6" t="str">
        <f>HYPERLINK("https://www.bioscidb.com/tag/gettag/23de8c6e-3fe1-40d0-ab6a-6ebca86b72e6","Tag")</f>
        <v>Tag</v>
      </c>
      <c r="S44" s="4" t="s">
        <v>14</v>
      </c>
      <c r="T44" s="26" t="s">
        <v>1002</v>
      </c>
      <c r="U44" s="6" t="str">
        <f>HYPERLINK("https://www.bioscidb.com/tag/gettag/f0d873f6-9087-4919-9cb2-756f54ca2e37","Tag")</f>
        <v>Tag</v>
      </c>
      <c r="V44" s="8"/>
      <c r="W44" s="4"/>
      <c r="X44" s="1" t="s">
        <v>14</v>
      </c>
      <c r="Y44" s="1" t="s">
        <v>66</v>
      </c>
      <c r="Z44" s="1" t="s">
        <v>14</v>
      </c>
      <c r="AA44" s="1" t="s">
        <v>14</v>
      </c>
      <c r="AB44" s="1" t="s">
        <v>809</v>
      </c>
    </row>
    <row r="45" spans="1:28" ht="12.75">
      <c r="A45" s="3" t="s">
        <v>737</v>
      </c>
      <c r="B45" s="1" t="s">
        <v>738</v>
      </c>
      <c r="C45" s="1" t="s">
        <v>642</v>
      </c>
      <c r="D45" s="17" t="s">
        <v>56</v>
      </c>
      <c r="E45" s="6" t="str">
        <f>HYPERLINK("https://www.bioscidb.com/browse/deal_bg/13872","Link")</f>
        <v>Link</v>
      </c>
      <c r="F45" s="1" t="s">
        <v>27</v>
      </c>
      <c r="G45" s="16" t="s">
        <v>739</v>
      </c>
      <c r="H45" s="4">
        <v>504</v>
      </c>
      <c r="I45" s="4">
        <v>485</v>
      </c>
      <c r="J45" s="4" t="s">
        <v>14</v>
      </c>
      <c r="K45" s="20">
        <f>I45/H45</f>
        <v>0.9623015873015873</v>
      </c>
      <c r="L45" s="5" t="s">
        <v>19</v>
      </c>
      <c r="M45" s="4">
        <v>19</v>
      </c>
      <c r="N45" s="6" t="str">
        <f>HYPERLINK("https://www.bioscidb.com/tag/gettag/fafc9ccc-4e48-4db4-98f7-8f0d6ccb494a","Tag")</f>
        <v>Tag</v>
      </c>
      <c r="O45" s="4" t="s">
        <v>14</v>
      </c>
      <c r="P45" s="4"/>
      <c r="Q45" s="4" t="s">
        <v>14</v>
      </c>
      <c r="R45" s="4"/>
      <c r="S45" s="4" t="s">
        <v>14</v>
      </c>
      <c r="T45" s="26" t="s">
        <v>1021</v>
      </c>
      <c r="U45" s="6" t="str">
        <f>HYPERLINK("https://www.bioscidb.com/tag/gettag/be19ccc7-6182-4fe2-a35a-8b2b43c4aec9","Tag")</f>
        <v>Tag</v>
      </c>
      <c r="V45" s="8"/>
      <c r="W45" s="4"/>
      <c r="X45" s="1" t="s">
        <v>211</v>
      </c>
      <c r="Y45" s="1" t="s">
        <v>14</v>
      </c>
      <c r="Z45" s="1" t="s">
        <v>714</v>
      </c>
      <c r="AA45" s="1" t="s">
        <v>32</v>
      </c>
      <c r="AB45" s="1" t="s">
        <v>740</v>
      </c>
    </row>
    <row r="46" spans="1:28" ht="12.75">
      <c r="A46" s="3"/>
      <c r="B46" s="1"/>
      <c r="C46" s="1"/>
      <c r="D46" s="17"/>
      <c r="E46" s="6"/>
      <c r="F46" s="1"/>
      <c r="G46" s="16"/>
      <c r="H46" s="4"/>
      <c r="I46" s="4"/>
      <c r="J46" s="4"/>
      <c r="K46" s="20"/>
      <c r="L46" s="5"/>
      <c r="M46" s="4"/>
      <c r="N46" s="6"/>
      <c r="O46" s="4"/>
      <c r="P46" s="4"/>
      <c r="Q46" s="4"/>
      <c r="R46" s="4"/>
      <c r="S46" s="4"/>
      <c r="T46" s="27"/>
      <c r="U46" s="6"/>
      <c r="V46" s="8"/>
      <c r="W46" s="4"/>
      <c r="X46" s="1"/>
      <c r="Y46" s="1"/>
      <c r="Z46" s="1"/>
      <c r="AA46" s="1"/>
      <c r="AB46" s="1"/>
    </row>
    <row r="47" spans="1:28" ht="12.75">
      <c r="A47" s="3"/>
      <c r="B47" s="1"/>
      <c r="C47" s="1"/>
      <c r="D47" s="17"/>
      <c r="E47" s="6"/>
      <c r="F47" s="1"/>
      <c r="G47" s="16"/>
      <c r="H47" s="4"/>
      <c r="I47" s="4"/>
      <c r="J47" s="4"/>
      <c r="K47" s="20"/>
      <c r="L47" s="5"/>
      <c r="M47" s="4"/>
      <c r="N47" s="6"/>
      <c r="O47" s="4"/>
      <c r="P47" s="4"/>
      <c r="Q47" s="4"/>
      <c r="R47" s="4"/>
      <c r="S47" s="4"/>
      <c r="T47" s="27"/>
      <c r="U47" s="25" t="s">
        <v>1005</v>
      </c>
      <c r="V47" s="8">
        <f>AVERAGE(V28:V45)</f>
        <v>3.4333333333333336</v>
      </c>
      <c r="W47" s="4"/>
      <c r="X47" s="1"/>
      <c r="Y47" s="1"/>
      <c r="Z47" s="1"/>
      <c r="AA47" s="1"/>
      <c r="AB47" s="1"/>
    </row>
    <row r="48" spans="1:28" ht="12.75">
      <c r="A48" s="3"/>
      <c r="B48" s="1"/>
      <c r="C48" s="1"/>
      <c r="D48" s="17"/>
      <c r="E48" s="6"/>
      <c r="F48" s="1"/>
      <c r="G48" s="16"/>
      <c r="H48" s="4"/>
      <c r="I48" s="4"/>
      <c r="J48" s="4"/>
      <c r="K48" s="20"/>
      <c r="L48" s="5"/>
      <c r="M48" s="4"/>
      <c r="N48" s="6"/>
      <c r="O48" s="4"/>
      <c r="P48" s="4"/>
      <c r="Q48" s="4"/>
      <c r="R48" s="4"/>
      <c r="S48" s="4"/>
      <c r="T48" s="27"/>
      <c r="U48" s="25" t="s">
        <v>1006</v>
      </c>
      <c r="V48" s="8">
        <f>MEDIAN(V28:V45)</f>
        <v>3.35</v>
      </c>
      <c r="W48" s="4"/>
      <c r="X48" s="1"/>
      <c r="Y48" s="1"/>
      <c r="Z48" s="1"/>
      <c r="AA48" s="1"/>
      <c r="AB48" s="1"/>
    </row>
    <row r="49" spans="1:28" ht="12.75">
      <c r="A49" s="3"/>
      <c r="B49" s="1"/>
      <c r="C49" s="1"/>
      <c r="D49" s="17"/>
      <c r="E49" s="6"/>
      <c r="F49" s="1"/>
      <c r="G49" s="16"/>
      <c r="H49" s="4"/>
      <c r="I49" s="4"/>
      <c r="J49" s="4"/>
      <c r="K49" s="20"/>
      <c r="L49" s="5"/>
      <c r="M49" s="4"/>
      <c r="N49" s="6"/>
      <c r="O49" s="4"/>
      <c r="P49" s="4"/>
      <c r="Q49" s="4"/>
      <c r="R49" s="4"/>
      <c r="S49" s="4"/>
      <c r="T49" s="27"/>
      <c r="U49" s="25"/>
      <c r="V49" s="8"/>
      <c r="W49" s="4"/>
      <c r="X49" s="1"/>
      <c r="Y49" s="1"/>
      <c r="Z49" s="1"/>
      <c r="AA49" s="1"/>
      <c r="AB49" s="1"/>
    </row>
    <row r="50" spans="1:28" ht="25.5">
      <c r="A50" s="3" t="s">
        <v>710</v>
      </c>
      <c r="B50" s="1" t="s">
        <v>555</v>
      </c>
      <c r="C50" s="1" t="s">
        <v>853</v>
      </c>
      <c r="D50" s="17" t="s">
        <v>43</v>
      </c>
      <c r="E50" s="6" t="str">
        <f>HYPERLINK("https://www.bioscidb.com/browse/deal_bg/13352","Link")</f>
        <v>Link</v>
      </c>
      <c r="F50" s="1" t="s">
        <v>45</v>
      </c>
      <c r="G50" s="16" t="s">
        <v>854</v>
      </c>
      <c r="H50" s="4">
        <v>461</v>
      </c>
      <c r="I50" s="4">
        <v>191</v>
      </c>
      <c r="J50" s="4" t="s">
        <v>14</v>
      </c>
      <c r="K50" s="20">
        <f>I50/H50</f>
        <v>0.41431670281995664</v>
      </c>
      <c r="L50" s="5" t="s">
        <v>19</v>
      </c>
      <c r="M50" s="4">
        <v>133</v>
      </c>
      <c r="N50" s="6" t="str">
        <f>HYPERLINK("https://www.bioscidb.com/tag/gettag/965a1abc-139a-446f-9484-30d041d25a26","Tag")</f>
        <v>Tag</v>
      </c>
      <c r="O50" s="4">
        <v>61</v>
      </c>
      <c r="P50" s="4"/>
      <c r="Q50" s="4">
        <v>76</v>
      </c>
      <c r="R50" s="4"/>
      <c r="S50" s="4" t="s">
        <v>14</v>
      </c>
      <c r="T50" s="27"/>
      <c r="U50" s="4"/>
      <c r="V50" s="8"/>
      <c r="W50" s="4"/>
      <c r="X50" s="1" t="s">
        <v>79</v>
      </c>
      <c r="Y50" s="1" t="s">
        <v>14</v>
      </c>
      <c r="Z50" s="1" t="s">
        <v>143</v>
      </c>
      <c r="AA50" s="1" t="s">
        <v>89</v>
      </c>
      <c r="AB50" s="1" t="s">
        <v>855</v>
      </c>
    </row>
    <row r="51" spans="1:28" ht="25.5">
      <c r="A51" s="3" t="s">
        <v>303</v>
      </c>
      <c r="B51" s="1" t="s">
        <v>304</v>
      </c>
      <c r="C51" s="1" t="s">
        <v>257</v>
      </c>
      <c r="D51" s="17" t="s">
        <v>67</v>
      </c>
      <c r="E51" s="6" t="str">
        <f>HYPERLINK("https://www.bioscidb.com/browse/deal_bg/1325","Link")</f>
        <v>Link</v>
      </c>
      <c r="F51" s="1" t="s">
        <v>27</v>
      </c>
      <c r="G51" s="16" t="s">
        <v>30</v>
      </c>
      <c r="H51" s="4">
        <v>450</v>
      </c>
      <c r="I51" s="4">
        <v>360</v>
      </c>
      <c r="J51" s="4" t="s">
        <v>14</v>
      </c>
      <c r="K51" s="20">
        <f>I51/H51</f>
        <v>0.8</v>
      </c>
      <c r="L51" s="5" t="s">
        <v>19</v>
      </c>
      <c r="M51" s="4" t="s">
        <v>14</v>
      </c>
      <c r="N51" s="4"/>
      <c r="O51" s="4">
        <v>90</v>
      </c>
      <c r="P51" s="6" t="str">
        <f>HYPERLINK("https://www.bioscidb.com/tag/gettag/d0cb812d-3888-4915-84d9-64303cd1b571","Tag")</f>
        <v>Tag</v>
      </c>
      <c r="Q51" s="4" t="s">
        <v>14</v>
      </c>
      <c r="R51" s="4"/>
      <c r="S51" s="4" t="s">
        <v>14</v>
      </c>
      <c r="T51" s="26" t="s">
        <v>1022</v>
      </c>
      <c r="U51" s="6" t="str">
        <f>HYPERLINK("https://www.bioscidb.com/tag/gettag/aeb59c5b-6e36-48b7-a06c-611753082586","Tag")</f>
        <v>Tag</v>
      </c>
      <c r="V51" s="8">
        <v>5.2</v>
      </c>
      <c r="W51" s="6" t="str">
        <f>HYPERLINK("https://www.bioscidb.com/tag/gettag/d06e86a2-adfa-4845-9568-3ae16b77b572","Tag")</f>
        <v>Tag</v>
      </c>
      <c r="X51" s="1" t="s">
        <v>14</v>
      </c>
      <c r="Y51" s="1" t="s">
        <v>23</v>
      </c>
      <c r="Z51" s="1" t="s">
        <v>305</v>
      </c>
      <c r="AA51" s="1" t="s">
        <v>148</v>
      </c>
      <c r="AB51" s="1" t="s">
        <v>14</v>
      </c>
    </row>
    <row r="52" spans="1:28" ht="12.75">
      <c r="A52" s="3" t="s">
        <v>208</v>
      </c>
      <c r="B52" s="1" t="s">
        <v>209</v>
      </c>
      <c r="C52" s="1" t="s">
        <v>118</v>
      </c>
      <c r="D52" s="1" t="s">
        <v>50</v>
      </c>
      <c r="E52" s="6" t="str">
        <f>HYPERLINK("https://www.bioscidb.com/browse/deal_bg/1376","Link")</f>
        <v>Link</v>
      </c>
      <c r="F52" s="1" t="s">
        <v>27</v>
      </c>
      <c r="G52" s="16" t="s">
        <v>30</v>
      </c>
      <c r="H52" s="4">
        <v>443</v>
      </c>
      <c r="I52" s="4">
        <v>323</v>
      </c>
      <c r="J52" s="4" t="s">
        <v>14</v>
      </c>
      <c r="K52" s="20">
        <f>I52/H52</f>
        <v>0.7291196388261851</v>
      </c>
      <c r="L52" s="5" t="s">
        <v>19</v>
      </c>
      <c r="M52" s="4" t="s">
        <v>14</v>
      </c>
      <c r="N52" s="4"/>
      <c r="O52" s="4">
        <v>120</v>
      </c>
      <c r="P52" s="6" t="str">
        <f>HYPERLINK("https://www.bioscidb.com/tag/gettag/fee36864-0bff-472f-b96d-1620661d4715","Tag")</f>
        <v>Tag</v>
      </c>
      <c r="Q52" s="4" t="s">
        <v>14</v>
      </c>
      <c r="R52" s="6" t="str">
        <f>HYPERLINK("https://www.bioscidb.com/tag/gettag/941f823d-3b22-4844-b35e-4113d9bf0c8d","Tag")</f>
        <v>Tag</v>
      </c>
      <c r="S52" s="4" t="s">
        <v>14</v>
      </c>
      <c r="T52" s="26" t="s">
        <v>1002</v>
      </c>
      <c r="U52" s="6" t="str">
        <f>HYPERLINK("https://www.bioscidb.com/tag/gettag/33493291-947f-4f62-a972-2e9a0db51d99","Tag")</f>
        <v>Tag</v>
      </c>
      <c r="V52" s="8">
        <v>7.5</v>
      </c>
      <c r="W52" s="6" t="str">
        <f>HYPERLINK("https://www.bioscidb.com/tag/gettag/8569fd2c-aa01-4540-9b26-44014c2d7fc7","Tag")</f>
        <v>Tag</v>
      </c>
      <c r="X52" s="1" t="s">
        <v>211</v>
      </c>
      <c r="Y52" s="1" t="s">
        <v>79</v>
      </c>
      <c r="Z52" s="1" t="s">
        <v>21</v>
      </c>
      <c r="AA52" s="1" t="s">
        <v>14</v>
      </c>
      <c r="AB52" s="1" t="s">
        <v>210</v>
      </c>
    </row>
    <row r="53" spans="1:28" ht="12.75">
      <c r="A53" s="3" t="s">
        <v>127</v>
      </c>
      <c r="B53" s="1" t="s">
        <v>397</v>
      </c>
      <c r="C53" s="1" t="s">
        <v>398</v>
      </c>
      <c r="D53" s="1" t="s">
        <v>43</v>
      </c>
      <c r="E53" s="6" t="str">
        <f>HYPERLINK("https://www.bioscidb.com/browse/deal_bg/1730","Link")</f>
        <v>Link</v>
      </c>
      <c r="F53" s="1" t="s">
        <v>27</v>
      </c>
      <c r="G53" s="16" t="s">
        <v>399</v>
      </c>
      <c r="H53" s="4">
        <v>424</v>
      </c>
      <c r="I53" s="4">
        <v>10</v>
      </c>
      <c r="J53" s="4">
        <v>190</v>
      </c>
      <c r="K53" s="20">
        <f>(I53+J53)/H53</f>
        <v>0.4716981132075472</v>
      </c>
      <c r="L53" s="5" t="s">
        <v>19</v>
      </c>
      <c r="M53" s="4">
        <v>148</v>
      </c>
      <c r="N53" s="6" t="str">
        <f>HYPERLINK("https://www.bioscidb.com/tag/gettag/29af524d-677d-4212-aab1-b62e92f9fb00","Tag")</f>
        <v>Tag</v>
      </c>
      <c r="O53" s="4" t="s">
        <v>14</v>
      </c>
      <c r="P53" s="4"/>
      <c r="Q53" s="4">
        <v>76</v>
      </c>
      <c r="R53" s="6" t="str">
        <f>HYPERLINK("https://www.bioscidb.com/tag/gettag/3bbcdd08-2b7e-4e5b-ac63-545176c3e8b6","Tag")</f>
        <v>Tag</v>
      </c>
      <c r="S53" s="4" t="s">
        <v>14</v>
      </c>
      <c r="T53" s="26" t="s">
        <v>1023</v>
      </c>
      <c r="U53" s="6" t="str">
        <f>HYPERLINK("https://www.bioscidb.com/tag/gettag/4d1dc1b9-c27c-442b-9a0a-3ceba3261d8d","Tag")</f>
        <v>Tag</v>
      </c>
      <c r="V53" s="8"/>
      <c r="W53" s="4"/>
      <c r="X53" s="1" t="s">
        <v>14</v>
      </c>
      <c r="Y53" s="1" t="s">
        <v>14</v>
      </c>
      <c r="Z53" s="1" t="s">
        <v>55</v>
      </c>
      <c r="AA53" s="1" t="s">
        <v>22</v>
      </c>
      <c r="AB53" s="1" t="s">
        <v>400</v>
      </c>
    </row>
    <row r="54" spans="1:28" ht="12.75">
      <c r="A54" s="3" t="s">
        <v>773</v>
      </c>
      <c r="B54" s="1" t="s">
        <v>774</v>
      </c>
      <c r="C54" s="1" t="s">
        <v>376</v>
      </c>
      <c r="D54" s="1" t="s">
        <v>43</v>
      </c>
      <c r="E54" s="6" t="str">
        <f>HYPERLINK("https://www.bioscidb.com/browse/deal_bg/13946","Link")</f>
        <v>Link</v>
      </c>
      <c r="F54" s="1" t="s">
        <v>27</v>
      </c>
      <c r="G54" s="16" t="s">
        <v>30</v>
      </c>
      <c r="H54" s="4">
        <v>415</v>
      </c>
      <c r="I54" s="4">
        <v>50</v>
      </c>
      <c r="J54" s="4" t="s">
        <v>14</v>
      </c>
      <c r="K54" s="20">
        <f>I54/H54</f>
        <v>0.12048192771084337</v>
      </c>
      <c r="L54" s="5" t="s">
        <v>19</v>
      </c>
      <c r="M54" s="4">
        <v>140</v>
      </c>
      <c r="N54" s="6" t="str">
        <f>HYPERLINK("https://www.bioscidb.com/tag/gettag/8467439a-2207-46f2-8eee-26980d85548e","Tag")</f>
        <v>Tag</v>
      </c>
      <c r="O54" s="4" t="s">
        <v>14</v>
      </c>
      <c r="P54" s="4"/>
      <c r="Q54" s="4">
        <v>225</v>
      </c>
      <c r="R54" s="6" t="str">
        <f>HYPERLINK("https://www.bioscidb.com/tag/gettag/38aba924-094f-4287-9b65-dfae97cc1f7e","Tag")</f>
        <v>Tag</v>
      </c>
      <c r="S54" s="4" t="s">
        <v>14</v>
      </c>
      <c r="T54" s="26" t="s">
        <v>1002</v>
      </c>
      <c r="U54" s="6" t="str">
        <f>HYPERLINK("https://www.bioscidb.com/tag/gettag/b6672d96-9564-4055-a508-a8efbc9d12c0","Tag")</f>
        <v>Tag</v>
      </c>
      <c r="V54" s="8">
        <v>6</v>
      </c>
      <c r="W54" s="6" t="str">
        <f>HYPERLINK("https://www.bioscidb.com/tag/gettag/6b841dd5-6a68-448b-9597-3d432cbd5895","Tag")</f>
        <v>Tag</v>
      </c>
      <c r="X54" s="1" t="s">
        <v>14</v>
      </c>
      <c r="Y54" s="1" t="s">
        <v>14</v>
      </c>
      <c r="Z54" s="1" t="s">
        <v>123</v>
      </c>
      <c r="AA54" s="1" t="s">
        <v>22</v>
      </c>
      <c r="AB54" s="1" t="s">
        <v>775</v>
      </c>
    </row>
    <row r="55" spans="1:28" ht="25.5">
      <c r="A55" s="3" t="s">
        <v>513</v>
      </c>
      <c r="B55" s="1" t="s">
        <v>794</v>
      </c>
      <c r="C55" s="1" t="s">
        <v>795</v>
      </c>
      <c r="D55" s="1" t="s">
        <v>131</v>
      </c>
      <c r="E55" s="6" t="str">
        <f>HYPERLINK("https://www.bioscidb.com/browse/deal_bg/7776","Link")</f>
        <v>Link</v>
      </c>
      <c r="F55" s="1" t="s">
        <v>15</v>
      </c>
      <c r="G55" s="16" t="s">
        <v>30</v>
      </c>
      <c r="H55" s="4">
        <v>410</v>
      </c>
      <c r="I55" s="4">
        <v>380</v>
      </c>
      <c r="J55" s="4" t="s">
        <v>14</v>
      </c>
      <c r="K55" s="20">
        <f>I55/H55</f>
        <v>0.926829268292683</v>
      </c>
      <c r="L55" s="5" t="s">
        <v>19</v>
      </c>
      <c r="M55" s="4" t="s">
        <v>14</v>
      </c>
      <c r="N55" s="4"/>
      <c r="O55" s="4" t="s">
        <v>14</v>
      </c>
      <c r="P55" s="4"/>
      <c r="Q55" s="4">
        <v>30</v>
      </c>
      <c r="R55" s="6" t="str">
        <f>HYPERLINK("https://www.bioscidb.com/tag/gettag/a9473414-4b2e-4c71-b936-78c3c1a2ef98","Tag")</f>
        <v>Tag</v>
      </c>
      <c r="S55" s="4" t="s">
        <v>14</v>
      </c>
      <c r="T55" s="26" t="s">
        <v>1024</v>
      </c>
      <c r="U55" s="6" t="str">
        <f>HYPERLINK("https://www.bioscidb.com/tag/gettag/b7e1c9f1-c255-4fbd-80c4-c2e0ecd08030","Tag")</f>
        <v>Tag</v>
      </c>
      <c r="V55" s="8"/>
      <c r="W55" s="4"/>
      <c r="X55" s="1" t="s">
        <v>14</v>
      </c>
      <c r="Y55" s="1" t="s">
        <v>14</v>
      </c>
      <c r="Z55" s="1" t="s">
        <v>189</v>
      </c>
      <c r="AA55" s="1" t="s">
        <v>131</v>
      </c>
      <c r="AB55" s="1" t="s">
        <v>14</v>
      </c>
    </row>
    <row r="56" spans="1:28" ht="12.75">
      <c r="A56" s="3" t="s">
        <v>373</v>
      </c>
      <c r="B56" s="1" t="s">
        <v>374</v>
      </c>
      <c r="C56" s="1" t="s">
        <v>105</v>
      </c>
      <c r="D56" s="1" t="s">
        <v>50</v>
      </c>
      <c r="E56" s="6" t="str">
        <f>HYPERLINK("https://www.bioscidb.com/browse/deal_bg/3746","Link")</f>
        <v>Link</v>
      </c>
      <c r="F56" s="1" t="s">
        <v>27</v>
      </c>
      <c r="G56" s="16" t="s">
        <v>82</v>
      </c>
      <c r="H56" s="4">
        <v>410</v>
      </c>
      <c r="I56" s="4">
        <v>315</v>
      </c>
      <c r="J56" s="4" t="s">
        <v>14</v>
      </c>
      <c r="K56" s="20">
        <f>I56/H56</f>
        <v>0.7682926829268293</v>
      </c>
      <c r="L56" s="5" t="s">
        <v>19</v>
      </c>
      <c r="M56" s="4">
        <v>95</v>
      </c>
      <c r="N56" s="6" t="str">
        <f>HYPERLINK("https://www.bioscidb.com/tag/gettag/a701dec3-4560-488a-92bf-705c4a4d4072","Tag")</f>
        <v>Tag</v>
      </c>
      <c r="O56" s="4" t="s">
        <v>14</v>
      </c>
      <c r="P56" s="4"/>
      <c r="Q56" s="4" t="s">
        <v>14</v>
      </c>
      <c r="R56" s="4"/>
      <c r="S56" s="4" t="s">
        <v>14</v>
      </c>
      <c r="T56" s="26" t="s">
        <v>1001</v>
      </c>
      <c r="U56" s="6" t="str">
        <f>HYPERLINK("https://www.bioscidb.com/tag/gettag/ffea213b-c6ab-4b28-b0e3-1b1e9bf33095","Tag")</f>
        <v>Tag</v>
      </c>
      <c r="V56" s="8">
        <v>10</v>
      </c>
      <c r="W56" s="6" t="str">
        <f>HYPERLINK("https://www.bioscidb.com/tag/gettag/bda1a8a4-b273-4892-a92e-ba203121bdbf","Tag")</f>
        <v>Tag</v>
      </c>
      <c r="X56" s="1" t="s">
        <v>211</v>
      </c>
      <c r="Y56" s="1" t="s">
        <v>54</v>
      </c>
      <c r="Z56" s="1" t="s">
        <v>55</v>
      </c>
      <c r="AA56" s="1" t="s">
        <v>22</v>
      </c>
      <c r="AB56" s="1" t="s">
        <v>375</v>
      </c>
    </row>
    <row r="57" spans="1:28" ht="12.75">
      <c r="A57" s="3" t="s">
        <v>663</v>
      </c>
      <c r="B57" s="1" t="s">
        <v>926</v>
      </c>
      <c r="C57" s="1" t="s">
        <v>192</v>
      </c>
      <c r="D57" s="17" t="s">
        <v>43</v>
      </c>
      <c r="E57" s="6" t="str">
        <f>HYPERLINK("https://www.bioscidb.com/browse/deal_bg/15033","Link")</f>
        <v>Link</v>
      </c>
      <c r="F57" s="1" t="s">
        <v>45</v>
      </c>
      <c r="G57" s="16" t="s">
        <v>100</v>
      </c>
      <c r="H57" s="4">
        <v>400</v>
      </c>
      <c r="I57" s="4">
        <v>175</v>
      </c>
      <c r="J57" s="4">
        <v>75</v>
      </c>
      <c r="K57" s="20">
        <f>(I57+J57)/H57</f>
        <v>0.625</v>
      </c>
      <c r="L57" s="5" t="s">
        <v>19</v>
      </c>
      <c r="M57" s="4">
        <v>150</v>
      </c>
      <c r="N57" s="6" t="str">
        <f>HYPERLINK("https://www.bioscidb.com/tag/gettag/384b7f39-8770-4ac4-ab4a-3bc21276680f","Tag")</f>
        <v>Tag</v>
      </c>
      <c r="O57" s="4" t="s">
        <v>14</v>
      </c>
      <c r="P57" s="4"/>
      <c r="Q57" s="4" t="s">
        <v>14</v>
      </c>
      <c r="R57" s="4"/>
      <c r="S57" s="4">
        <v>5</v>
      </c>
      <c r="T57" s="26" t="s">
        <v>1002</v>
      </c>
      <c r="U57" s="6" t="str">
        <f>HYPERLINK("https://www.bioscidb.com/tag/gettag/ac607259-1710-4f2c-a958-c1c4463a6325","Tag")</f>
        <v>Tag</v>
      </c>
      <c r="V57" s="8">
        <v>15</v>
      </c>
      <c r="W57" s="6" t="str">
        <f>HYPERLINK("https://www.bioscidb.com/tag/gettag/9b4c25cb-c404-4e1e-990f-1fb7e6e89f66","Tag")</f>
        <v>Tag</v>
      </c>
      <c r="X57" s="1" t="s">
        <v>14</v>
      </c>
      <c r="Y57" s="1" t="s">
        <v>14</v>
      </c>
      <c r="Z57" s="1" t="s">
        <v>317</v>
      </c>
      <c r="AA57" s="1" t="s">
        <v>14</v>
      </c>
      <c r="AB57" s="1" t="s">
        <v>927</v>
      </c>
    </row>
    <row r="58" spans="1:28" ht="12.75">
      <c r="A58" s="3" t="s">
        <v>300</v>
      </c>
      <c r="B58" s="1" t="s">
        <v>301</v>
      </c>
      <c r="C58" s="1" t="s">
        <v>242</v>
      </c>
      <c r="D58" s="1" t="s">
        <v>56</v>
      </c>
      <c r="E58" s="6" t="str">
        <f>HYPERLINK("https://www.bioscidb.com/browse/deal_bg/209","Link")</f>
        <v>Link</v>
      </c>
      <c r="F58" s="1" t="s">
        <v>27</v>
      </c>
      <c r="G58" s="16" t="s">
        <v>30</v>
      </c>
      <c r="H58" s="4">
        <v>390</v>
      </c>
      <c r="I58" s="4">
        <v>190</v>
      </c>
      <c r="J58" s="4" t="s">
        <v>14</v>
      </c>
      <c r="K58" s="20">
        <f>I58/H58</f>
        <v>0.48717948717948717</v>
      </c>
      <c r="L58" s="5" t="s">
        <v>19</v>
      </c>
      <c r="M58" s="4" t="s">
        <v>14</v>
      </c>
      <c r="N58" s="4"/>
      <c r="O58" s="4">
        <v>200</v>
      </c>
      <c r="P58" s="6" t="str">
        <f>HYPERLINK("https://www.bioscidb.com/tag/gettag/0ebd5ae7-4e31-4ce4-ac2e-f0a859bc1151","Tag")</f>
        <v>Tag</v>
      </c>
      <c r="Q58" s="4" t="s">
        <v>14</v>
      </c>
      <c r="R58" s="6" t="str">
        <f>HYPERLINK("https://www.bioscidb.com/tag/gettag/d39c348b-66a1-4f68-85a8-6e6f5995c724","Tag")</f>
        <v>Tag</v>
      </c>
      <c r="S58" s="4" t="s">
        <v>14</v>
      </c>
      <c r="T58" s="26" t="s">
        <v>1001</v>
      </c>
      <c r="U58" s="6" t="str">
        <f>HYPERLINK("https://www.bioscidb.com/tag/gettag/9d0b7d3e-6451-4033-a370-376e31c48d2a","Tag")</f>
        <v>Tag</v>
      </c>
      <c r="V58" s="8">
        <v>17.5</v>
      </c>
      <c r="W58" s="6" t="str">
        <f>HYPERLINK("https://www.bioscidb.com/tag/gettag/c4e2367a-3fed-4016-bc1b-28ecdf0a56e2","Tag")</f>
        <v>Tag</v>
      </c>
      <c r="X58" s="1" t="s">
        <v>14</v>
      </c>
      <c r="Y58" s="1" t="s">
        <v>79</v>
      </c>
      <c r="Z58" s="1" t="s">
        <v>139</v>
      </c>
      <c r="AA58" s="1" t="s">
        <v>22</v>
      </c>
      <c r="AB58" s="1" t="s">
        <v>302</v>
      </c>
    </row>
    <row r="59" spans="1:28" ht="12.75">
      <c r="A59" s="3" t="s">
        <v>685</v>
      </c>
      <c r="B59" s="1" t="s">
        <v>686</v>
      </c>
      <c r="C59" s="1" t="s">
        <v>242</v>
      </c>
      <c r="D59" s="1" t="s">
        <v>43</v>
      </c>
      <c r="E59" s="6" t="str">
        <f>HYPERLINK("https://www.bioscidb.com/browse/deal_bg/1809","Link")</f>
        <v>Link</v>
      </c>
      <c r="F59" s="1" t="s">
        <v>15</v>
      </c>
      <c r="G59" s="16" t="s">
        <v>30</v>
      </c>
      <c r="H59" s="4">
        <v>382.5</v>
      </c>
      <c r="I59" s="4">
        <v>92.5</v>
      </c>
      <c r="J59" s="4" t="s">
        <v>14</v>
      </c>
      <c r="K59" s="20">
        <f>I59/H59</f>
        <v>0.24183006535947713</v>
      </c>
      <c r="L59" s="5" t="s">
        <v>19</v>
      </c>
      <c r="M59" s="4" t="s">
        <v>14</v>
      </c>
      <c r="N59" s="6" t="str">
        <f>HYPERLINK("https://www.bioscidb.com/tag/gettag/00fdde63-bcdf-40de-bdd8-9627668cb22d","Tag")</f>
        <v>Tag</v>
      </c>
      <c r="O59" s="4" t="s">
        <v>14</v>
      </c>
      <c r="P59" s="6" t="str">
        <f>HYPERLINK("https://www.bioscidb.com/tag/gettag/00fdde63-bcdf-40de-bdd8-9627668cb22d","Tag")</f>
        <v>Tag</v>
      </c>
      <c r="Q59" s="4">
        <v>80</v>
      </c>
      <c r="R59" s="6" t="str">
        <f>HYPERLINK("https://www.bioscidb.com/tag/gettag/df3c03ac-b0e1-4bf8-b365-eb73ef21d9de","Tag")</f>
        <v>Tag</v>
      </c>
      <c r="S59" s="4" t="s">
        <v>14</v>
      </c>
      <c r="T59" s="26" t="s">
        <v>1001</v>
      </c>
      <c r="U59" s="6" t="str">
        <f>HYPERLINK("https://www.bioscidb.com/tag/gettag/5d26ae6c-710c-4b41-a8b6-e179ab597bbc","Tag")</f>
        <v>Tag</v>
      </c>
      <c r="V59" s="8"/>
      <c r="W59" s="6" t="str">
        <f>HYPERLINK("https://www.bioscidb.com/tag/gettag/bcf87c23-948e-41b4-bdee-8e6a6e8071e6","Tag")</f>
        <v>Tag</v>
      </c>
      <c r="X59" s="1" t="s">
        <v>14</v>
      </c>
      <c r="Y59" s="1" t="s">
        <v>79</v>
      </c>
      <c r="Z59" s="1" t="s">
        <v>83</v>
      </c>
      <c r="AA59" s="1" t="s">
        <v>22</v>
      </c>
      <c r="AB59" s="1" t="s">
        <v>687</v>
      </c>
    </row>
    <row r="60" spans="1:28" ht="12.75">
      <c r="A60" s="3" t="s">
        <v>196</v>
      </c>
      <c r="B60" s="1" t="s">
        <v>197</v>
      </c>
      <c r="C60" s="1" t="s">
        <v>198</v>
      </c>
      <c r="D60" s="1" t="s">
        <v>131</v>
      </c>
      <c r="E60" s="6" t="str">
        <f>HYPERLINK("https://www.bioscidb.com/browse/deal_bg/6622","Link")</f>
        <v>Link</v>
      </c>
      <c r="F60" s="1" t="s">
        <v>27</v>
      </c>
      <c r="G60" s="16" t="s">
        <v>100</v>
      </c>
      <c r="H60" s="4">
        <v>380</v>
      </c>
      <c r="I60" s="4">
        <v>190</v>
      </c>
      <c r="J60" s="4" t="s">
        <v>14</v>
      </c>
      <c r="K60" s="20">
        <f>I60/H60</f>
        <v>0.5</v>
      </c>
      <c r="L60" s="5" t="s">
        <v>19</v>
      </c>
      <c r="M60" s="4">
        <v>102.6</v>
      </c>
      <c r="N60" s="4"/>
      <c r="O60" s="4" t="s">
        <v>14</v>
      </c>
      <c r="P60" s="4"/>
      <c r="Q60" s="4">
        <v>87.4</v>
      </c>
      <c r="R60" s="4"/>
      <c r="S60" s="4" t="s">
        <v>14</v>
      </c>
      <c r="T60" s="27"/>
      <c r="U60" s="4"/>
      <c r="V60" s="8"/>
      <c r="W60" s="4"/>
      <c r="X60" s="1" t="s">
        <v>14</v>
      </c>
      <c r="Y60" s="1" t="s">
        <v>14</v>
      </c>
      <c r="Z60" s="1" t="s">
        <v>189</v>
      </c>
      <c r="AA60" s="1" t="s">
        <v>131</v>
      </c>
      <c r="AB60" s="1" t="s">
        <v>199</v>
      </c>
    </row>
    <row r="61" spans="1:28" ht="12.75">
      <c r="A61" s="3" t="s">
        <v>196</v>
      </c>
      <c r="B61" s="1" t="s">
        <v>236</v>
      </c>
      <c r="C61" s="1" t="s">
        <v>132</v>
      </c>
      <c r="D61" s="1" t="s">
        <v>56</v>
      </c>
      <c r="E61" s="6" t="str">
        <f>HYPERLINK("https://www.bioscidb.com/browse/deal_bg/5815","Link")</f>
        <v>Link</v>
      </c>
      <c r="F61" s="1" t="s">
        <v>27</v>
      </c>
      <c r="G61" s="16" t="s">
        <v>30</v>
      </c>
      <c r="H61" s="4">
        <v>375</v>
      </c>
      <c r="I61" s="4">
        <v>350</v>
      </c>
      <c r="J61" s="4" t="s">
        <v>14</v>
      </c>
      <c r="K61" s="20">
        <f>I61/H61</f>
        <v>0.9333333333333333</v>
      </c>
      <c r="L61" s="5" t="s">
        <v>19</v>
      </c>
      <c r="M61" s="4" t="s">
        <v>14</v>
      </c>
      <c r="N61" s="4"/>
      <c r="O61" s="4" t="s">
        <v>14</v>
      </c>
      <c r="P61" s="4"/>
      <c r="Q61" s="4">
        <v>25</v>
      </c>
      <c r="R61" s="6" t="str">
        <f>HYPERLINK("https://www.bioscidb.com/tag/gettag/84b13a84-8249-407e-8381-ac5aff9e544e","Tag")</f>
        <v>Tag</v>
      </c>
      <c r="S61" s="4" t="s">
        <v>14</v>
      </c>
      <c r="T61" s="27"/>
      <c r="U61" s="4"/>
      <c r="V61" s="8">
        <v>5</v>
      </c>
      <c r="W61" s="6" t="str">
        <f>HYPERLINK("https://www.bioscidb.com/tag/gettag/66fd9717-8fb6-4c0a-abba-bc2d8ac078a4","Tag")</f>
        <v>Tag</v>
      </c>
      <c r="X61" s="1" t="s">
        <v>14</v>
      </c>
      <c r="Y61" s="1" t="s">
        <v>66</v>
      </c>
      <c r="Z61" s="1" t="s">
        <v>237</v>
      </c>
      <c r="AA61" s="1" t="s">
        <v>14</v>
      </c>
      <c r="AB61" s="1" t="s">
        <v>14</v>
      </c>
    </row>
    <row r="62" spans="1:28" ht="12.75">
      <c r="A62" s="3" t="s">
        <v>464</v>
      </c>
      <c r="B62" s="1" t="s">
        <v>516</v>
      </c>
      <c r="C62" s="1" t="s">
        <v>517</v>
      </c>
      <c r="D62" s="1" t="s">
        <v>43</v>
      </c>
      <c r="E62" s="6" t="str">
        <f>HYPERLINK("https://www.bioscidb.com/browse/deal_bg/6191","Link")</f>
        <v>Link</v>
      </c>
      <c r="F62" s="1" t="s">
        <v>45</v>
      </c>
      <c r="G62" s="16" t="s">
        <v>100</v>
      </c>
      <c r="H62" s="4">
        <v>369</v>
      </c>
      <c r="I62" s="4" t="s">
        <v>14</v>
      </c>
      <c r="J62" s="4" t="s">
        <v>14</v>
      </c>
      <c r="K62" s="20"/>
      <c r="L62" s="5" t="s">
        <v>19</v>
      </c>
      <c r="M62" s="4">
        <v>45</v>
      </c>
      <c r="N62" s="6" t="str">
        <f>HYPERLINK("https://www.bioscidb.com/tag/gettag/40cb0b2f-418f-4434-9d9e-4e02847cd5e9","Tag")</f>
        <v>Tag</v>
      </c>
      <c r="O62" s="4">
        <v>32</v>
      </c>
      <c r="P62" s="6" t="str">
        <f>HYPERLINK("https://www.bioscidb.com/tag/gettag/0d2d63b4-a817-4bb4-8545-93c5c0ca985b","Tag")</f>
        <v>Tag</v>
      </c>
      <c r="Q62" s="4">
        <v>292</v>
      </c>
      <c r="R62" s="6" t="str">
        <f>HYPERLINK("https://www.bioscidb.com/tag/gettag/30d4ef49-7e29-47ea-85dc-18345e137c9f","Tag")</f>
        <v>Tag</v>
      </c>
      <c r="S62" s="4">
        <v>16</v>
      </c>
      <c r="T62" s="27"/>
      <c r="U62" s="4"/>
      <c r="V62" s="8"/>
      <c r="W62" s="4"/>
      <c r="X62" s="1" t="s">
        <v>14</v>
      </c>
      <c r="Y62" s="1" t="s">
        <v>519</v>
      </c>
      <c r="Z62" s="1" t="s">
        <v>21</v>
      </c>
      <c r="AA62" s="1" t="s">
        <v>437</v>
      </c>
      <c r="AB62" s="1" t="s">
        <v>518</v>
      </c>
    </row>
    <row r="63" spans="1:28" ht="25.5">
      <c r="A63" s="3" t="s">
        <v>634</v>
      </c>
      <c r="B63" s="1" t="s">
        <v>635</v>
      </c>
      <c r="C63" s="1" t="s">
        <v>636</v>
      </c>
      <c r="D63" s="17" t="s">
        <v>56</v>
      </c>
      <c r="E63" s="6" t="str">
        <f>HYPERLINK("https://www.bioscidb.com/browse/deal_bg/11693","Link")</f>
        <v>Link</v>
      </c>
      <c r="F63" s="1" t="s">
        <v>15</v>
      </c>
      <c r="G63" s="16" t="s">
        <v>637</v>
      </c>
      <c r="H63" s="4">
        <v>355.1</v>
      </c>
      <c r="I63" s="4">
        <v>100.1</v>
      </c>
      <c r="J63" s="4" t="s">
        <v>14</v>
      </c>
      <c r="K63" s="20">
        <f>I63/H63</f>
        <v>0.28189242466910724</v>
      </c>
      <c r="L63" s="5" t="s">
        <v>19</v>
      </c>
      <c r="M63" s="4" t="s">
        <v>14</v>
      </c>
      <c r="N63" s="4"/>
      <c r="O63" s="4" t="s">
        <v>14</v>
      </c>
      <c r="P63" s="4"/>
      <c r="Q63" s="4">
        <v>255</v>
      </c>
      <c r="R63" s="6" t="str">
        <f>HYPERLINK("https://www.bioscidb.com/tag/gettag/1bdc221b-6dcd-40fb-8b48-0aa215311bc3","Tag")</f>
        <v>Tag</v>
      </c>
      <c r="S63" s="4" t="s">
        <v>14</v>
      </c>
      <c r="T63" s="26" t="s">
        <v>1002</v>
      </c>
      <c r="U63" s="6" t="str">
        <f>HYPERLINK("https://www.bioscidb.com/tag/gettag/0bf7c5e6-f99b-4e5b-bd60-06c4a040537a","Tag")</f>
        <v>Tag</v>
      </c>
      <c r="V63" s="8">
        <v>12</v>
      </c>
      <c r="W63" s="6" t="str">
        <f>HYPERLINK("https://www.bioscidb.com/tag/gettag/cddd5ec4-cf33-473f-82ab-700dac936a2f","Tag")</f>
        <v>Tag</v>
      </c>
      <c r="X63" s="1" t="s">
        <v>66</v>
      </c>
      <c r="Y63" s="1" t="s">
        <v>66</v>
      </c>
      <c r="Z63" s="1" t="s">
        <v>139</v>
      </c>
      <c r="AA63" s="1" t="s">
        <v>32</v>
      </c>
      <c r="AB63" s="1" t="s">
        <v>14</v>
      </c>
    </row>
    <row r="64" spans="1:28" ht="12.75">
      <c r="A64" s="3" t="s">
        <v>575</v>
      </c>
      <c r="B64" s="1" t="s">
        <v>828</v>
      </c>
      <c r="C64" s="1" t="s">
        <v>829</v>
      </c>
      <c r="D64" s="1" t="s">
        <v>43</v>
      </c>
      <c r="E64" s="6" t="str">
        <f>HYPERLINK("https://www.bioscidb.com/browse/deal_bg/9475","Link")</f>
        <v>Link</v>
      </c>
      <c r="F64" s="1" t="s">
        <v>27</v>
      </c>
      <c r="G64" s="16" t="s">
        <v>100</v>
      </c>
      <c r="H64" s="4">
        <v>350</v>
      </c>
      <c r="I64" s="4">
        <v>50</v>
      </c>
      <c r="J64" s="4">
        <v>20</v>
      </c>
      <c r="K64" s="20">
        <f>(I64+J64)/H64</f>
        <v>0.2</v>
      </c>
      <c r="L64" s="5" t="s">
        <v>19</v>
      </c>
      <c r="M64" s="4">
        <v>40</v>
      </c>
      <c r="N64" s="6" t="str">
        <f>HYPERLINK("https://www.bioscidb.com/tag/gettag/1d909d37-7413-4f13-951e-269990f8d7e1","Tag")</f>
        <v>Tag</v>
      </c>
      <c r="O64" s="4" t="s">
        <v>14</v>
      </c>
      <c r="P64" s="4"/>
      <c r="Q64" s="4">
        <v>240</v>
      </c>
      <c r="R64" s="6" t="str">
        <f>HYPERLINK("https://www.bioscidb.com/tag/gettag/1f4dd7bd-a7a4-4d6a-ac70-489a585fa4c4","Tag")</f>
        <v>Tag</v>
      </c>
      <c r="S64" s="4" t="s">
        <v>14</v>
      </c>
      <c r="T64" s="26" t="s">
        <v>1001</v>
      </c>
      <c r="U64" s="6" t="str">
        <f>HYPERLINK("https://www.bioscidb.com/tag/gettag/672d075e-c613-49a1-81d7-304fd5cc285f","Tag")</f>
        <v>Tag</v>
      </c>
      <c r="V64" s="8">
        <v>15</v>
      </c>
      <c r="W64" s="6" t="str">
        <f>HYPERLINK("https://www.bioscidb.com/tag/gettag/fbda8492-bd71-49f4-b692-fc099ff6eefe","Tag")</f>
        <v>Tag</v>
      </c>
      <c r="X64" s="1" t="s">
        <v>14</v>
      </c>
      <c r="Y64" s="1" t="s">
        <v>14</v>
      </c>
      <c r="Z64" s="1" t="s">
        <v>139</v>
      </c>
      <c r="AA64" s="1" t="s">
        <v>14</v>
      </c>
      <c r="AB64" s="1" t="s">
        <v>14</v>
      </c>
    </row>
    <row r="65" spans="1:28" ht="12.75">
      <c r="A65" s="3" t="s">
        <v>452</v>
      </c>
      <c r="B65" s="1" t="s">
        <v>453</v>
      </c>
      <c r="C65" s="1" t="s">
        <v>454</v>
      </c>
      <c r="D65" s="1" t="s">
        <v>90</v>
      </c>
      <c r="E65" s="6" t="str">
        <f>HYPERLINK("https://www.bioscidb.com/browse/deal_bg/6839","Link")</f>
        <v>Link</v>
      </c>
      <c r="F65" s="1" t="s">
        <v>15</v>
      </c>
      <c r="G65" s="16" t="s">
        <v>30</v>
      </c>
      <c r="H65" s="4">
        <v>340.5</v>
      </c>
      <c r="I65" s="4">
        <v>9</v>
      </c>
      <c r="J65" s="4" t="s">
        <v>14</v>
      </c>
      <c r="K65" s="20">
        <f>I65/H65</f>
        <v>0.02643171806167401</v>
      </c>
      <c r="L65" s="5" t="s">
        <v>19</v>
      </c>
      <c r="M65" s="4">
        <v>150.5</v>
      </c>
      <c r="N65" s="6" t="str">
        <f>HYPERLINK("https://www.bioscidb.com/tag/gettag/4a12fae1-823c-4871-960a-86cf75e9e46c","Tag")</f>
        <v>Tag</v>
      </c>
      <c r="O65" s="4">
        <v>81</v>
      </c>
      <c r="P65" s="6" t="str">
        <f>HYPERLINK("https://www.bioscidb.com/tag/gettag/6ce2479d-c99d-484d-b3f5-2dcbc9252761","Tag")</f>
        <v>Tag</v>
      </c>
      <c r="Q65" s="4">
        <v>100</v>
      </c>
      <c r="R65" s="6" t="str">
        <f>HYPERLINK("https://www.bioscidb.com/tag/gettag/e4cdf0fd-7c6c-42d0-b9cf-2543e1a00b1a","Tag")</f>
        <v>Tag</v>
      </c>
      <c r="S65" s="4">
        <v>12</v>
      </c>
      <c r="T65" s="26" t="s">
        <v>1002</v>
      </c>
      <c r="U65" s="6" t="str">
        <f>HYPERLINK("https://www.bioscidb.com/tag/gettag/9620d611-dbf2-48fa-8806-421a5d65ab4b","Tag")</f>
        <v>Tag</v>
      </c>
      <c r="V65" s="8"/>
      <c r="W65" s="4"/>
      <c r="X65" s="1" t="s">
        <v>14</v>
      </c>
      <c r="Y65" s="1" t="s">
        <v>14</v>
      </c>
      <c r="Z65" s="1" t="s">
        <v>24</v>
      </c>
      <c r="AA65" s="1" t="s">
        <v>14</v>
      </c>
      <c r="AB65" s="1" t="s">
        <v>455</v>
      </c>
    </row>
    <row r="66" spans="1:28" ht="25.5">
      <c r="A66" s="3" t="s">
        <v>312</v>
      </c>
      <c r="B66" s="1" t="s">
        <v>313</v>
      </c>
      <c r="C66" s="1" t="s">
        <v>314</v>
      </c>
      <c r="D66" s="17" t="s">
        <v>56</v>
      </c>
      <c r="E66" s="6" t="str">
        <f>HYPERLINK("https://www.bioscidb.com/browse/deal_bg/5362","Link")</f>
        <v>Link</v>
      </c>
      <c r="F66" s="1" t="s">
        <v>27</v>
      </c>
      <c r="G66" s="16" t="s">
        <v>315</v>
      </c>
      <c r="H66" s="4">
        <v>327</v>
      </c>
      <c r="I66" s="4">
        <v>300</v>
      </c>
      <c r="J66" s="4" t="s">
        <v>14</v>
      </c>
      <c r="K66" s="20">
        <f>I66/H66</f>
        <v>0.9174311926605505</v>
      </c>
      <c r="L66" s="5" t="s">
        <v>19</v>
      </c>
      <c r="M66" s="4" t="s">
        <v>14</v>
      </c>
      <c r="N66" s="4"/>
      <c r="O66" s="4">
        <v>27</v>
      </c>
      <c r="P66" s="6" t="str">
        <f>HYPERLINK("https://www.bioscidb.com/tag/gettag/b109a3e6-fa01-43f6-877b-ea965841076e","Tag")</f>
        <v>Tag</v>
      </c>
      <c r="Q66" s="4" t="s">
        <v>14</v>
      </c>
      <c r="R66" s="4"/>
      <c r="S66" s="4">
        <v>10</v>
      </c>
      <c r="T66" s="26" t="s">
        <v>1025</v>
      </c>
      <c r="U66" s="6" t="str">
        <f>HYPERLINK("https://www.bioscidb.com/tag/gettag/3276595a-eaa7-4eef-9576-33160b648f5c","Tag")</f>
        <v>Tag</v>
      </c>
      <c r="V66" s="8"/>
      <c r="W66" s="4"/>
      <c r="X66" s="1" t="s">
        <v>14</v>
      </c>
      <c r="Y66" s="1" t="s">
        <v>14</v>
      </c>
      <c r="Z66" s="1" t="s">
        <v>317</v>
      </c>
      <c r="AA66" s="1" t="s">
        <v>318</v>
      </c>
      <c r="AB66" s="1" t="s">
        <v>316</v>
      </c>
    </row>
    <row r="67" spans="1:28" ht="12.75">
      <c r="A67" s="3" t="s">
        <v>757</v>
      </c>
      <c r="B67" s="1" t="s">
        <v>818</v>
      </c>
      <c r="C67" s="1" t="s">
        <v>815</v>
      </c>
      <c r="D67" s="17" t="s">
        <v>33</v>
      </c>
      <c r="E67" s="6" t="str">
        <f>HYPERLINK("https://www.bioscidb.com/browse/deal_bg/14421","Link")</f>
        <v>Link</v>
      </c>
      <c r="F67" s="1" t="s">
        <v>27</v>
      </c>
      <c r="G67" s="16" t="s">
        <v>100</v>
      </c>
      <c r="H67" s="4">
        <v>319</v>
      </c>
      <c r="I67" s="4">
        <v>282</v>
      </c>
      <c r="J67" s="4" t="s">
        <v>14</v>
      </c>
      <c r="K67" s="20">
        <f>I67/H67</f>
        <v>0.8840125391849529</v>
      </c>
      <c r="L67" s="5" t="s">
        <v>19</v>
      </c>
      <c r="M67" s="4" t="s">
        <v>14</v>
      </c>
      <c r="N67" s="4"/>
      <c r="O67" s="4" t="s">
        <v>14</v>
      </c>
      <c r="P67" s="4"/>
      <c r="Q67" s="4">
        <v>37</v>
      </c>
      <c r="R67" s="6" t="str">
        <f>HYPERLINK("https://www.bioscidb.com/tag/gettag/62f8983c-d6cc-4923-84d9-07d651ecafdb","Tag")</f>
        <v>Tag</v>
      </c>
      <c r="S67" s="4" t="s">
        <v>14</v>
      </c>
      <c r="T67" s="26" t="s">
        <v>1002</v>
      </c>
      <c r="U67" s="6" t="str">
        <f>HYPERLINK("https://www.bioscidb.com/tag/gettag/f46a0e4c-40cc-4419-a99e-49e46c91fe06","Tag")</f>
        <v>Tag</v>
      </c>
      <c r="V67" s="9">
        <v>1</v>
      </c>
      <c r="W67" s="6" t="str">
        <f>HYPERLINK("https://www.bioscidb.com/tag/gettag/9d463e0a-fdd4-43f0-bfdd-3a5d3fa879d6","Tag")</f>
        <v>Tag</v>
      </c>
      <c r="X67" s="1" t="s">
        <v>14</v>
      </c>
      <c r="Y67" s="1" t="s">
        <v>211</v>
      </c>
      <c r="Z67" s="1" t="s">
        <v>14</v>
      </c>
      <c r="AA67" s="1" t="s">
        <v>14</v>
      </c>
      <c r="AB67" s="1" t="s">
        <v>819</v>
      </c>
    </row>
    <row r="68" spans="1:28" ht="25.5">
      <c r="A68" s="3" t="s">
        <v>663</v>
      </c>
      <c r="B68" s="1" t="s">
        <v>897</v>
      </c>
      <c r="C68" s="1" t="s">
        <v>898</v>
      </c>
      <c r="D68" s="1" t="s">
        <v>131</v>
      </c>
      <c r="E68" s="6" t="str">
        <f>HYPERLINK("https://www.bioscidb.com/browse/deal_bg/15517","Link")</f>
        <v>Link</v>
      </c>
      <c r="F68" s="1" t="s">
        <v>27</v>
      </c>
      <c r="G68" s="16" t="s">
        <v>899</v>
      </c>
      <c r="H68" s="4">
        <v>300</v>
      </c>
      <c r="I68" s="4">
        <v>40</v>
      </c>
      <c r="J68" s="4" t="s">
        <v>14</v>
      </c>
      <c r="K68" s="20">
        <f>I68/H68</f>
        <v>0.13333333333333333</v>
      </c>
      <c r="L68" s="5" t="s">
        <v>19</v>
      </c>
      <c r="M68" s="4">
        <v>260</v>
      </c>
      <c r="N68" s="6" t="str">
        <f>HYPERLINK("https://www.bioscidb.com/tag/gettag/494d2025-bfd9-42eb-a7ea-c92070f79904","Tag")</f>
        <v>Tag</v>
      </c>
      <c r="O68" s="4" t="s">
        <v>14</v>
      </c>
      <c r="P68" s="4"/>
      <c r="Q68" s="4" t="s">
        <v>14</v>
      </c>
      <c r="R68" s="4"/>
      <c r="S68" s="4" t="s">
        <v>14</v>
      </c>
      <c r="T68" s="26" t="s">
        <v>1002</v>
      </c>
      <c r="U68" s="6" t="str">
        <f>HYPERLINK("https://www.bioscidb.com/tag/gettag/2aa22c4b-240b-4081-8b98-ffc4e9a4408c","Tag")</f>
        <v>Tag</v>
      </c>
      <c r="V68" s="9">
        <v>7.3</v>
      </c>
      <c r="W68" s="6" t="str">
        <f>HYPERLINK("https://www.bioscidb.com/tag/gettag/1b51dc28-be31-41a7-b0d6-77598a0a3726","Tag")</f>
        <v>Tag</v>
      </c>
      <c r="X68" s="1" t="s">
        <v>14</v>
      </c>
      <c r="Y68" s="1" t="s">
        <v>14</v>
      </c>
      <c r="Z68" s="1" t="s">
        <v>21</v>
      </c>
      <c r="AA68" s="1" t="s">
        <v>131</v>
      </c>
      <c r="AB68" s="1" t="s">
        <v>14</v>
      </c>
    </row>
    <row r="69" spans="1:28" ht="25.5">
      <c r="A69" s="3" t="s">
        <v>762</v>
      </c>
      <c r="B69" s="1" t="s">
        <v>170</v>
      </c>
      <c r="C69" s="1" t="s">
        <v>776</v>
      </c>
      <c r="D69" s="1" t="s">
        <v>56</v>
      </c>
      <c r="E69" s="6" t="str">
        <f>HYPERLINK("https://www.bioscidb.com/browse/deal_bg/14120","Link")</f>
        <v>Link</v>
      </c>
      <c r="F69" s="1" t="s">
        <v>27</v>
      </c>
      <c r="G69" s="16" t="s">
        <v>777</v>
      </c>
      <c r="H69" s="4">
        <v>300</v>
      </c>
      <c r="I69" s="4">
        <v>160</v>
      </c>
      <c r="J69" s="4" t="s">
        <v>14</v>
      </c>
      <c r="K69" s="20">
        <f>I69/H69</f>
        <v>0.5333333333333333</v>
      </c>
      <c r="L69" s="5" t="s">
        <v>19</v>
      </c>
      <c r="M69" s="4" t="s">
        <v>14</v>
      </c>
      <c r="N69" s="4"/>
      <c r="O69" s="4">
        <v>40</v>
      </c>
      <c r="P69" s="6" t="str">
        <f>HYPERLINK("https://www.bioscidb.com/tag/gettag/dea95cd0-bfbd-4607-aad7-4dce6b53e36a","Tag")</f>
        <v>Tag</v>
      </c>
      <c r="Q69" s="4">
        <v>100</v>
      </c>
      <c r="R69" s="6" t="str">
        <f>HYPERLINK("https://www.bioscidb.com/tag/gettag/ccaac36e-a075-47fc-856c-365749eaf34a","Tag")</f>
        <v>Tag</v>
      </c>
      <c r="S69" s="4" t="s">
        <v>14</v>
      </c>
      <c r="T69" s="27"/>
      <c r="U69" s="4"/>
      <c r="V69" s="8">
        <v>5</v>
      </c>
      <c r="W69" s="6" t="str">
        <f>HYPERLINK("https://www.bioscidb.com/tag/gettag/39ad21d8-9fd1-4780-b739-318c314908ba","Tag")</f>
        <v>Tag</v>
      </c>
      <c r="X69" s="1" t="s">
        <v>14</v>
      </c>
      <c r="Y69" s="1" t="s">
        <v>14</v>
      </c>
      <c r="Z69" s="1" t="s">
        <v>55</v>
      </c>
      <c r="AA69" s="1" t="s">
        <v>22</v>
      </c>
      <c r="AB69" s="1" t="s">
        <v>14</v>
      </c>
    </row>
    <row r="70" spans="1:28" ht="25.5">
      <c r="A70" s="3" t="s">
        <v>943</v>
      </c>
      <c r="B70" s="1" t="s">
        <v>944</v>
      </c>
      <c r="C70" s="1" t="s">
        <v>475</v>
      </c>
      <c r="D70" s="1" t="s">
        <v>43</v>
      </c>
      <c r="E70" s="6" t="str">
        <f>HYPERLINK("https://www.bioscidb.com/browse/deal_bg/15909","Link")</f>
        <v>Link</v>
      </c>
      <c r="F70" s="1" t="s">
        <v>15</v>
      </c>
      <c r="G70" s="16" t="s">
        <v>945</v>
      </c>
      <c r="H70" s="4">
        <v>295</v>
      </c>
      <c r="I70" s="4">
        <v>75</v>
      </c>
      <c r="J70" s="4" t="s">
        <v>14</v>
      </c>
      <c r="K70" s="20">
        <f>I70/H70</f>
        <v>0.2542372881355932</v>
      </c>
      <c r="L70" s="5" t="s">
        <v>19</v>
      </c>
      <c r="M70" s="4">
        <v>120</v>
      </c>
      <c r="N70" s="6" t="str">
        <f>HYPERLINK("https://www.bioscidb.com/tag/gettag/5708e99a-0b85-4674-b846-d9faeb3259a2","Tag")</f>
        <v>Tag</v>
      </c>
      <c r="O70" s="4" t="s">
        <v>14</v>
      </c>
      <c r="P70" s="4"/>
      <c r="Q70" s="4">
        <v>100</v>
      </c>
      <c r="R70" s="6" t="str">
        <f>HYPERLINK("https://www.bioscidb.com/tag/gettag/366fddfe-62cd-470f-bb8a-e9c458d0d0b7","Tag")</f>
        <v>Tag</v>
      </c>
      <c r="S70" s="4">
        <v>13.55</v>
      </c>
      <c r="T70" s="26" t="s">
        <v>1002</v>
      </c>
      <c r="U70" s="6" t="str">
        <f>HYPERLINK("https://www.bioscidb.com/tag/gettag/8ddc655c-b675-481d-86d5-2319e6c969b3","Tag")</f>
        <v>Tag</v>
      </c>
      <c r="V70" s="8"/>
      <c r="W70" s="4"/>
      <c r="X70" s="1" t="s">
        <v>14</v>
      </c>
      <c r="Y70" s="1" t="s">
        <v>79</v>
      </c>
      <c r="Z70" s="1" t="s">
        <v>266</v>
      </c>
      <c r="AA70" s="1" t="s">
        <v>22</v>
      </c>
      <c r="AB70" s="1" t="s">
        <v>946</v>
      </c>
    </row>
    <row r="71" spans="1:28" ht="25.5">
      <c r="A71" s="3" t="s">
        <v>528</v>
      </c>
      <c r="B71" s="1" t="s">
        <v>120</v>
      </c>
      <c r="C71" s="1" t="s">
        <v>549</v>
      </c>
      <c r="D71" s="1" t="s">
        <v>56</v>
      </c>
      <c r="E71" s="6" t="str">
        <f>HYPERLINK("https://www.bioscidb.com/browse/deal_bg/8926","Link")</f>
        <v>Link</v>
      </c>
      <c r="F71" s="1" t="s">
        <v>45</v>
      </c>
      <c r="G71" s="16" t="s">
        <v>550</v>
      </c>
      <c r="H71" s="4">
        <v>294</v>
      </c>
      <c r="I71" s="4">
        <v>199</v>
      </c>
      <c r="J71" s="4" t="s">
        <v>14</v>
      </c>
      <c r="K71" s="20">
        <f>I71/H71</f>
        <v>0.6768707482993197</v>
      </c>
      <c r="L71" s="5" t="s">
        <v>19</v>
      </c>
      <c r="M71" s="4" t="s">
        <v>14</v>
      </c>
      <c r="N71" s="4"/>
      <c r="O71" s="4" t="s">
        <v>14</v>
      </c>
      <c r="P71" s="4"/>
      <c r="Q71" s="4">
        <v>95</v>
      </c>
      <c r="R71" s="6" t="str">
        <f>HYPERLINK("https://www.bioscidb.com/tag/gettag/ccf6934f-aade-421e-b733-0d145e21b2cb","Tag")</f>
        <v>Tag</v>
      </c>
      <c r="S71" s="4" t="s">
        <v>14</v>
      </c>
      <c r="T71" s="27"/>
      <c r="U71" s="4"/>
      <c r="V71" s="8"/>
      <c r="W71" s="4"/>
      <c r="X71" s="1" t="s">
        <v>79</v>
      </c>
      <c r="Y71" s="1" t="s">
        <v>14</v>
      </c>
      <c r="Z71" s="1" t="s">
        <v>21</v>
      </c>
      <c r="AA71" s="1" t="s">
        <v>22</v>
      </c>
      <c r="AB71" s="1" t="s">
        <v>551</v>
      </c>
    </row>
    <row r="72" spans="1:28" ht="12.75">
      <c r="A72" s="3" t="s">
        <v>224</v>
      </c>
      <c r="B72" s="1" t="s">
        <v>671</v>
      </c>
      <c r="C72" s="1" t="s">
        <v>588</v>
      </c>
      <c r="D72" s="1" t="s">
        <v>50</v>
      </c>
      <c r="E72" s="6" t="str">
        <f>HYPERLINK("https://www.bioscidb.com/browse/deal_bg/6834","Link")</f>
        <v>Link</v>
      </c>
      <c r="F72" s="1" t="s">
        <v>15</v>
      </c>
      <c r="G72" s="16" t="s">
        <v>672</v>
      </c>
      <c r="H72" s="4">
        <v>290</v>
      </c>
      <c r="I72" s="4" t="s">
        <v>14</v>
      </c>
      <c r="J72" s="4">
        <v>100</v>
      </c>
      <c r="K72" s="20">
        <f>J72/H72</f>
        <v>0.3448275862068966</v>
      </c>
      <c r="L72" s="5" t="s">
        <v>19</v>
      </c>
      <c r="M72" s="4">
        <v>65</v>
      </c>
      <c r="N72" s="6" t="str">
        <f>HYPERLINK("https://www.bioscidb.com/tag/gettag/bd8e9090-cd8d-4560-8851-8f286686b292","Tag")</f>
        <v>Tag</v>
      </c>
      <c r="O72" s="4" t="s">
        <v>14</v>
      </c>
      <c r="P72" s="4"/>
      <c r="Q72" s="4">
        <v>125</v>
      </c>
      <c r="R72" s="6" t="str">
        <f>HYPERLINK("https://www.bioscidb.com/tag/gettag/45623154-c4c7-48c0-9e8d-d3bd9b54d780","Tag")</f>
        <v>Tag</v>
      </c>
      <c r="S72" s="4" t="s">
        <v>14</v>
      </c>
      <c r="T72" s="26" t="s">
        <v>1002</v>
      </c>
      <c r="U72" s="6" t="str">
        <f>HYPERLINK("https://www.bioscidb.com/tag/gettag/a6092093-5963-4f61-8381-602cbcb3ddf5","Tag")</f>
        <v>Tag</v>
      </c>
      <c r="V72" s="8">
        <v>12</v>
      </c>
      <c r="W72" s="6" t="str">
        <f>HYPERLINK("https://www.bioscidb.com/tag/gettag/db9119b1-f5ea-4da0-b447-76bffccd037f","Tag")</f>
        <v>Tag</v>
      </c>
      <c r="X72" s="1" t="s">
        <v>14</v>
      </c>
      <c r="Y72" s="1" t="s">
        <v>14</v>
      </c>
      <c r="Z72" s="1" t="s">
        <v>49</v>
      </c>
      <c r="AA72" s="1" t="s">
        <v>14</v>
      </c>
      <c r="AB72" s="1" t="s">
        <v>14</v>
      </c>
    </row>
    <row r="73" spans="1:28" ht="25.5">
      <c r="A73" s="3" t="s">
        <v>44</v>
      </c>
      <c r="B73" s="1" t="s">
        <v>939</v>
      </c>
      <c r="C73" s="1" t="s">
        <v>940</v>
      </c>
      <c r="D73" s="1" t="s">
        <v>43</v>
      </c>
      <c r="E73" s="6" t="str">
        <f>HYPERLINK("https://www.bioscidb.com/browse/deal_bg/727","Link")</f>
        <v>Link</v>
      </c>
      <c r="F73" s="1" t="s">
        <v>15</v>
      </c>
      <c r="G73" s="16" t="s">
        <v>941</v>
      </c>
      <c r="H73" s="4">
        <v>264.9</v>
      </c>
      <c r="I73" s="4">
        <v>7.5</v>
      </c>
      <c r="J73" s="4" t="s">
        <v>14</v>
      </c>
      <c r="K73" s="20">
        <f>I73/H73</f>
        <v>0.028312570781426957</v>
      </c>
      <c r="L73" s="5" t="s">
        <v>19</v>
      </c>
      <c r="M73" s="4">
        <v>12.5</v>
      </c>
      <c r="N73" s="6" t="str">
        <f>HYPERLINK("https://www.bioscidb.com/tag/gettag/f084dbed-34c6-4ca7-b02b-026cb77e4618","Tag")</f>
        <v>Tag</v>
      </c>
      <c r="O73" s="4">
        <v>244.9</v>
      </c>
      <c r="P73" s="6" t="str">
        <f>HYPERLINK("https://www.bioscidb.com/tag/gettag/650b1a54-014c-4d9c-82c2-90df21beede7","Tag")</f>
        <v>Tag</v>
      </c>
      <c r="Q73" s="4" t="s">
        <v>14</v>
      </c>
      <c r="R73" s="4"/>
      <c r="S73" s="4" t="s">
        <v>14</v>
      </c>
      <c r="T73" s="27"/>
      <c r="U73" s="4"/>
      <c r="V73" s="8">
        <v>2</v>
      </c>
      <c r="W73" s="6" t="str">
        <f>HYPERLINK("https://www.bioscidb.com/tag/gettag/66a4088e-1e27-4e55-8584-f5b0e846b029","Tag")</f>
        <v>Tag</v>
      </c>
      <c r="X73" s="1" t="s">
        <v>14</v>
      </c>
      <c r="Y73" s="1" t="s">
        <v>23</v>
      </c>
      <c r="Z73" s="1" t="s">
        <v>203</v>
      </c>
      <c r="AA73" s="1" t="s">
        <v>32</v>
      </c>
      <c r="AB73" s="1" t="s">
        <v>942</v>
      </c>
    </row>
    <row r="74" spans="1:28" ht="25.5">
      <c r="A74" s="3" t="s">
        <v>607</v>
      </c>
      <c r="B74" s="1" t="s">
        <v>608</v>
      </c>
      <c r="C74" s="1" t="s">
        <v>609</v>
      </c>
      <c r="D74" s="17" t="s">
        <v>43</v>
      </c>
      <c r="E74" s="6" t="str">
        <f>HYPERLINK("https://www.bioscidb.com/browse/deal_bg/10578","Link")</f>
        <v>Link</v>
      </c>
      <c r="F74" s="1" t="s">
        <v>27</v>
      </c>
      <c r="G74" s="16" t="s">
        <v>610</v>
      </c>
      <c r="H74" s="4">
        <v>250</v>
      </c>
      <c r="I74" s="4">
        <v>160</v>
      </c>
      <c r="J74" s="4" t="s">
        <v>14</v>
      </c>
      <c r="K74" s="20">
        <f>I74/H74</f>
        <v>0.64</v>
      </c>
      <c r="L74" s="5" t="s">
        <v>19</v>
      </c>
      <c r="M74" s="4">
        <v>90</v>
      </c>
      <c r="N74" s="6" t="str">
        <f>HYPERLINK("https://www.bioscidb.com/tag/gettag/c2153593-b0ed-421d-b00e-a7aef089e6c7","Tag")</f>
        <v>Tag</v>
      </c>
      <c r="O74" s="4" t="s">
        <v>14</v>
      </c>
      <c r="P74" s="4"/>
      <c r="Q74" s="4" t="s">
        <v>14</v>
      </c>
      <c r="R74" s="4"/>
      <c r="S74" s="4" t="s">
        <v>14</v>
      </c>
      <c r="T74" s="27"/>
      <c r="U74" s="4"/>
      <c r="V74" s="8"/>
      <c r="W74" s="4"/>
      <c r="X74" s="1" t="s">
        <v>211</v>
      </c>
      <c r="Y74" s="1" t="s">
        <v>23</v>
      </c>
      <c r="Z74" s="1" t="s">
        <v>61</v>
      </c>
      <c r="AA74" s="1" t="s">
        <v>22</v>
      </c>
      <c r="AB74" s="1" t="s">
        <v>14</v>
      </c>
    </row>
    <row r="75" spans="1:28" ht="25.5">
      <c r="A75" s="3" t="s">
        <v>137</v>
      </c>
      <c r="B75" s="1" t="s">
        <v>700</v>
      </c>
      <c r="C75" s="1" t="s">
        <v>782</v>
      </c>
      <c r="D75" s="1" t="s">
        <v>56</v>
      </c>
      <c r="E75" s="6" t="str">
        <f>HYPERLINK("https://www.bioscidb.com/browse/deal_bg/1963","Link")</f>
        <v>Link</v>
      </c>
      <c r="F75" s="1" t="s">
        <v>15</v>
      </c>
      <c r="G75" s="16" t="s">
        <v>783</v>
      </c>
      <c r="H75" s="4">
        <v>250</v>
      </c>
      <c r="I75" s="4">
        <v>1</v>
      </c>
      <c r="J75" s="4" t="s">
        <v>14</v>
      </c>
      <c r="K75" s="20">
        <f>I75/H75</f>
        <v>0.004</v>
      </c>
      <c r="L75" s="5" t="s">
        <v>19</v>
      </c>
      <c r="M75" s="4" t="s">
        <v>14</v>
      </c>
      <c r="N75" s="4"/>
      <c r="O75" s="4" t="s">
        <v>14</v>
      </c>
      <c r="P75" s="4"/>
      <c r="Q75" s="4">
        <v>250</v>
      </c>
      <c r="R75" s="6" t="str">
        <f>HYPERLINK("https://www.bioscidb.com/tag/gettag/7b0e78d3-9fc9-4962-81e7-b4915c5d8830","Tag")</f>
        <v>Tag</v>
      </c>
      <c r="S75" s="4" t="s">
        <v>14</v>
      </c>
      <c r="T75" s="26" t="s">
        <v>1001</v>
      </c>
      <c r="U75" s="6" t="str">
        <f>HYPERLINK("https://www.bioscidb.com/tag/gettag/c2969a1c-945d-4c19-a7cf-6e2df6b54793","Tag")</f>
        <v>Tag</v>
      </c>
      <c r="V75" s="8">
        <v>3</v>
      </c>
      <c r="W75" s="6" t="str">
        <f>HYPERLINK("https://www.bioscidb.com/tag/gettag/f698f5d5-e372-417c-a2df-482b526c82d2","Tag")</f>
        <v>Tag</v>
      </c>
      <c r="X75" s="1" t="s">
        <v>23</v>
      </c>
      <c r="Y75" s="1" t="s">
        <v>14</v>
      </c>
      <c r="Z75" s="1" t="s">
        <v>143</v>
      </c>
      <c r="AA75" s="1" t="s">
        <v>437</v>
      </c>
      <c r="AB75" s="1" t="s">
        <v>14</v>
      </c>
    </row>
    <row r="76" spans="1:28" ht="25.5">
      <c r="A76" s="3" t="s">
        <v>838</v>
      </c>
      <c r="B76" s="1" t="s">
        <v>839</v>
      </c>
      <c r="C76" s="1" t="s">
        <v>840</v>
      </c>
      <c r="D76" s="17" t="s">
        <v>33</v>
      </c>
      <c r="E76" s="6" t="str">
        <f>HYPERLINK("https://www.bioscidb.com/browse/deal_bg/14554","Link")</f>
        <v>Link</v>
      </c>
      <c r="F76" s="1" t="s">
        <v>27</v>
      </c>
      <c r="G76" s="16" t="s">
        <v>482</v>
      </c>
      <c r="H76" s="4">
        <v>245</v>
      </c>
      <c r="I76" s="4" t="s">
        <v>14</v>
      </c>
      <c r="J76" s="4">
        <v>232.75</v>
      </c>
      <c r="K76" s="20">
        <f>J76/H76</f>
        <v>0.95</v>
      </c>
      <c r="L76" s="5" t="s">
        <v>19</v>
      </c>
      <c r="M76" s="4" t="s">
        <v>14</v>
      </c>
      <c r="N76" s="4"/>
      <c r="O76" s="4" t="s">
        <v>14</v>
      </c>
      <c r="P76" s="4"/>
      <c r="Q76" s="4">
        <v>12.25</v>
      </c>
      <c r="R76" s="6" t="str">
        <f>HYPERLINK("https://www.bioscidb.com/tag/gettag/e88e345e-b1d3-421a-bad2-03cedcf7e4f6","Tag")</f>
        <v>Tag</v>
      </c>
      <c r="S76" s="4" t="s">
        <v>14</v>
      </c>
      <c r="T76" s="26" t="s">
        <v>1026</v>
      </c>
      <c r="U76" s="6" t="str">
        <f>HYPERLINK("https://www.bioscidb.com/tag/gettag/a4270193-e205-403c-885a-330b15f891f1","Tag")</f>
        <v>Tag</v>
      </c>
      <c r="V76" s="9">
        <v>2.6</v>
      </c>
      <c r="W76" s="6" t="str">
        <f>HYPERLINK("https://www.bioscidb.com/tag/gettag/542e3bb3-0d65-4791-bbab-7bfd23cd56ea","Tag")</f>
        <v>Tag</v>
      </c>
      <c r="X76" s="1" t="s">
        <v>211</v>
      </c>
      <c r="Y76" s="1" t="s">
        <v>211</v>
      </c>
      <c r="Z76" s="1" t="s">
        <v>317</v>
      </c>
      <c r="AA76" s="1" t="s">
        <v>14</v>
      </c>
      <c r="AB76" s="1" t="s">
        <v>841</v>
      </c>
    </row>
    <row r="77" spans="1:28" ht="12.75">
      <c r="A77" s="3" t="s">
        <v>75</v>
      </c>
      <c r="B77" s="1" t="s">
        <v>745</v>
      </c>
      <c r="C77" s="1" t="s">
        <v>268</v>
      </c>
      <c r="D77" s="17" t="s">
        <v>50</v>
      </c>
      <c r="E77" s="6" t="str">
        <f>HYPERLINK("https://www.bioscidb.com/browse/deal_bg/1041","Link")</f>
        <v>Link</v>
      </c>
      <c r="F77" s="1" t="s">
        <v>15</v>
      </c>
      <c r="G77" s="16" t="s">
        <v>746</v>
      </c>
      <c r="H77" s="4">
        <v>240</v>
      </c>
      <c r="I77" s="4">
        <v>100</v>
      </c>
      <c r="J77" s="4" t="s">
        <v>14</v>
      </c>
      <c r="K77" s="20">
        <f>I77/H77</f>
        <v>0.4166666666666667</v>
      </c>
      <c r="L77" s="5" t="s">
        <v>19</v>
      </c>
      <c r="M77" s="4">
        <v>90</v>
      </c>
      <c r="N77" s="6" t="str">
        <f>HYPERLINK("https://www.bioscidb.com/tag/gettag/24cc0ad1-274e-4728-8ded-94d19ab644bf","Tag")</f>
        <v>Tag</v>
      </c>
      <c r="O77" s="4" t="s">
        <v>14</v>
      </c>
      <c r="P77" s="4"/>
      <c r="Q77" s="4">
        <v>50</v>
      </c>
      <c r="R77" s="6" t="str">
        <f>HYPERLINK("https://www.bioscidb.com/tag/gettag/4cb4eb37-c219-46bd-a382-ad11ab2ace60","Tag")</f>
        <v>Tag</v>
      </c>
      <c r="S77" s="4" t="s">
        <v>14</v>
      </c>
      <c r="T77" s="26" t="s">
        <v>1002</v>
      </c>
      <c r="U77" s="6" t="str">
        <f>HYPERLINK("https://www.bioscidb.com/tag/gettag/fee9f42c-be82-48fa-9944-13293346380b","Tag")</f>
        <v>Tag</v>
      </c>
      <c r="V77" s="8">
        <v>4</v>
      </c>
      <c r="W77" s="6" t="str">
        <f>HYPERLINK("https://www.bioscidb.com/tag/gettag/e37e6568-4b7f-4c5f-920a-0df2f6ee705b","Tag")</f>
        <v>Tag</v>
      </c>
      <c r="X77" s="1" t="s">
        <v>14</v>
      </c>
      <c r="Y77" s="1" t="s">
        <v>14</v>
      </c>
      <c r="Z77" s="1" t="s">
        <v>123</v>
      </c>
      <c r="AA77" s="1" t="s">
        <v>748</v>
      </c>
      <c r="AB77" s="1" t="s">
        <v>747</v>
      </c>
    </row>
    <row r="78" spans="1:28" ht="12.75">
      <c r="A78" s="3" t="s">
        <v>570</v>
      </c>
      <c r="B78" s="1" t="s">
        <v>571</v>
      </c>
      <c r="C78" s="1" t="s">
        <v>572</v>
      </c>
      <c r="D78" s="1" t="s">
        <v>67</v>
      </c>
      <c r="E78" s="6" t="str">
        <f>HYPERLINK("https://www.bioscidb.com/browse/deal_bg/9766","Link")</f>
        <v>Link</v>
      </c>
      <c r="F78" s="1" t="s">
        <v>27</v>
      </c>
      <c r="G78" s="16" t="s">
        <v>573</v>
      </c>
      <c r="H78" s="4">
        <v>237.5</v>
      </c>
      <c r="I78" s="4" t="s">
        <v>14</v>
      </c>
      <c r="J78" s="4">
        <v>62.5</v>
      </c>
      <c r="K78" s="20">
        <f>J78/H78</f>
        <v>0.2631578947368421</v>
      </c>
      <c r="L78" s="5" t="s">
        <v>19</v>
      </c>
      <c r="M78" s="4">
        <v>140</v>
      </c>
      <c r="N78" s="6" t="str">
        <f>HYPERLINK("https://www.bioscidb.com/tag/gettag/216f458a-317e-485a-963f-ab83054670c3","Tag")</f>
        <v>Tag</v>
      </c>
      <c r="O78" s="4">
        <v>10</v>
      </c>
      <c r="P78" s="6" t="str">
        <f>HYPERLINK("https://www.bioscidb.com/tag/gettag/7947736d-ac7f-4b92-a9f1-25e11283551c","Tag")</f>
        <v>Tag</v>
      </c>
      <c r="Q78" s="4">
        <v>25</v>
      </c>
      <c r="R78" s="6" t="str">
        <f>HYPERLINK("https://www.bioscidb.com/tag/gettag/07d8c606-32c7-4607-8817-f8aa21b54d8f","Tag")</f>
        <v>Tag</v>
      </c>
      <c r="S78" s="4" t="s">
        <v>14</v>
      </c>
      <c r="T78" s="26" t="s">
        <v>1002</v>
      </c>
      <c r="U78" s="6" t="str">
        <f>HYPERLINK("https://www.bioscidb.com/tag/gettag/8c115ca8-78e5-4792-8bff-628bcd23972b","Tag")</f>
        <v>Tag</v>
      </c>
      <c r="V78" s="8">
        <v>15</v>
      </c>
      <c r="W78" s="6" t="str">
        <f>HYPERLINK("https://www.bioscidb.com/tag/gettag/e7208dae-a790-4ef6-8146-602b23ad30dc","Tag")</f>
        <v>Tag</v>
      </c>
      <c r="X78" s="1" t="s">
        <v>14</v>
      </c>
      <c r="Y78" s="1" t="s">
        <v>14</v>
      </c>
      <c r="Z78" s="1" t="s">
        <v>55</v>
      </c>
      <c r="AA78" s="1" t="s">
        <v>84</v>
      </c>
      <c r="AB78" s="1" t="s">
        <v>574</v>
      </c>
    </row>
    <row r="79" spans="1:28" ht="25.5">
      <c r="A79" s="3" t="s">
        <v>127</v>
      </c>
      <c r="B79" s="1" t="s">
        <v>262</v>
      </c>
      <c r="C79" s="1" t="s">
        <v>263</v>
      </c>
      <c r="D79" s="1" t="s">
        <v>56</v>
      </c>
      <c r="E79" s="6" t="str">
        <f>HYPERLINK("https://www.bioscidb.com/browse/deal_bg/1766","Link")</f>
        <v>Link</v>
      </c>
      <c r="F79" s="1" t="s">
        <v>45</v>
      </c>
      <c r="G79" s="16" t="s">
        <v>264</v>
      </c>
      <c r="H79" s="4">
        <v>231</v>
      </c>
      <c r="I79" s="4">
        <v>155</v>
      </c>
      <c r="J79" s="4" t="s">
        <v>14</v>
      </c>
      <c r="K79" s="20">
        <f>I79/H79</f>
        <v>0.670995670995671</v>
      </c>
      <c r="L79" s="5" t="s">
        <v>19</v>
      </c>
      <c r="M79" s="4" t="s">
        <v>14</v>
      </c>
      <c r="N79" s="4"/>
      <c r="O79" s="4" t="s">
        <v>14</v>
      </c>
      <c r="P79" s="4"/>
      <c r="Q79" s="4" t="s">
        <v>14</v>
      </c>
      <c r="R79" s="6" t="str">
        <f>HYPERLINK("https://www.bioscidb.com/tag/gettag/ba472323-a682-4dc3-a7bd-3dcff1d00c56","Tag")</f>
        <v>Tag</v>
      </c>
      <c r="S79" s="4" t="s">
        <v>14</v>
      </c>
      <c r="T79" s="26" t="s">
        <v>1002</v>
      </c>
      <c r="U79" s="6" t="str">
        <f>HYPERLINK("https://www.bioscidb.com/tag/gettag/b0f5b8fb-a1d9-49c8-ad4b-344219232018","Tag")</f>
        <v>Tag</v>
      </c>
      <c r="V79" s="8"/>
      <c r="W79" s="4"/>
      <c r="X79" s="1" t="s">
        <v>79</v>
      </c>
      <c r="Y79" s="1" t="s">
        <v>66</v>
      </c>
      <c r="Z79" s="1" t="s">
        <v>266</v>
      </c>
      <c r="AA79" s="1" t="s">
        <v>22</v>
      </c>
      <c r="AB79" s="1" t="s">
        <v>265</v>
      </c>
    </row>
    <row r="80" spans="1:28" ht="12.75">
      <c r="A80" s="3" t="s">
        <v>790</v>
      </c>
      <c r="B80" s="1" t="s">
        <v>791</v>
      </c>
      <c r="C80" s="1" t="s">
        <v>792</v>
      </c>
      <c r="D80" s="1" t="s">
        <v>131</v>
      </c>
      <c r="E80" s="6" t="str">
        <f>HYPERLINK("https://www.bioscidb.com/browse/deal_bg/14310","Link")</f>
        <v>Link</v>
      </c>
      <c r="F80" s="1" t="s">
        <v>45</v>
      </c>
      <c r="G80" s="16" t="s">
        <v>30</v>
      </c>
      <c r="H80" s="4">
        <v>220</v>
      </c>
      <c r="I80" s="4">
        <v>120</v>
      </c>
      <c r="J80" s="4" t="s">
        <v>14</v>
      </c>
      <c r="K80" s="20">
        <f>I80/H80</f>
        <v>0.5454545454545454</v>
      </c>
      <c r="L80" s="5" t="s">
        <v>19</v>
      </c>
      <c r="M80" s="4" t="s">
        <v>14</v>
      </c>
      <c r="N80" s="4"/>
      <c r="O80" s="4" t="s">
        <v>14</v>
      </c>
      <c r="P80" s="4"/>
      <c r="Q80" s="4" t="s">
        <v>14</v>
      </c>
      <c r="R80" s="4"/>
      <c r="S80" s="4" t="s">
        <v>14</v>
      </c>
      <c r="T80" s="26" t="s">
        <v>1002</v>
      </c>
      <c r="U80" s="6" t="str">
        <f>HYPERLINK("https://www.bioscidb.com/tag/gettag/7d9dab0b-ef43-4b1a-8643-5ec111330b56","Tag")</f>
        <v>Tag</v>
      </c>
      <c r="V80" s="9">
        <v>4.8</v>
      </c>
      <c r="W80" s="6" t="str">
        <f>HYPERLINK("https://www.bioscidb.com/tag/gettag/30ad26fa-5316-4aef-b075-67f82ce8d6e0","Tag")</f>
        <v>Tag</v>
      </c>
      <c r="X80" s="1" t="s">
        <v>14</v>
      </c>
      <c r="Y80" s="1" t="s">
        <v>14</v>
      </c>
      <c r="Z80" s="1" t="s">
        <v>139</v>
      </c>
      <c r="AA80" s="1" t="s">
        <v>131</v>
      </c>
      <c r="AB80" s="1" t="s">
        <v>793</v>
      </c>
    </row>
    <row r="81" spans="1:28" ht="12.75">
      <c r="A81" s="3" t="s">
        <v>168</v>
      </c>
      <c r="B81" s="1" t="s">
        <v>169</v>
      </c>
      <c r="C81" s="1" t="s">
        <v>170</v>
      </c>
      <c r="D81" s="1" t="s">
        <v>56</v>
      </c>
      <c r="E81" s="6" t="str">
        <f>HYPERLINK("https://www.bioscidb.com/browse/deal_bg/5173","Link")</f>
        <v>Link</v>
      </c>
      <c r="F81" s="1" t="s">
        <v>27</v>
      </c>
      <c r="G81" s="16" t="s">
        <v>30</v>
      </c>
      <c r="H81" s="4">
        <v>218</v>
      </c>
      <c r="I81" s="4">
        <v>206</v>
      </c>
      <c r="J81" s="4" t="s">
        <v>14</v>
      </c>
      <c r="K81" s="20">
        <f>I81/H81</f>
        <v>0.944954128440367</v>
      </c>
      <c r="L81" s="5" t="s">
        <v>19</v>
      </c>
      <c r="M81" s="4" t="s">
        <v>14</v>
      </c>
      <c r="N81" s="4"/>
      <c r="O81" s="4">
        <v>12</v>
      </c>
      <c r="P81" s="4"/>
      <c r="Q81" s="4" t="s">
        <v>14</v>
      </c>
      <c r="R81" s="4"/>
      <c r="S81" s="4" t="s">
        <v>14</v>
      </c>
      <c r="T81" s="27"/>
      <c r="U81" s="4"/>
      <c r="V81" s="8"/>
      <c r="W81" s="4"/>
      <c r="X81" s="1" t="s">
        <v>14</v>
      </c>
      <c r="Y81" s="1" t="s">
        <v>14</v>
      </c>
      <c r="Z81" s="1" t="s">
        <v>55</v>
      </c>
      <c r="AA81" s="1" t="s">
        <v>14</v>
      </c>
      <c r="AB81" s="1" t="s">
        <v>171</v>
      </c>
    </row>
    <row r="82" spans="1:28" ht="12.75">
      <c r="A82" s="3" t="s">
        <v>694</v>
      </c>
      <c r="B82" s="1" t="s">
        <v>695</v>
      </c>
      <c r="C82" s="1" t="s">
        <v>696</v>
      </c>
      <c r="D82" s="1" t="s">
        <v>131</v>
      </c>
      <c r="E82" s="6" t="str">
        <f>HYPERLINK("https://www.bioscidb.com/browse/deal_bg/13052","Link")</f>
        <v>Link</v>
      </c>
      <c r="F82" s="1" t="s">
        <v>27</v>
      </c>
      <c r="G82" s="16" t="s">
        <v>697</v>
      </c>
      <c r="H82" s="4">
        <v>216</v>
      </c>
      <c r="I82" s="4">
        <v>141</v>
      </c>
      <c r="J82" s="4" t="s">
        <v>14</v>
      </c>
      <c r="K82" s="20">
        <f>I82/H82</f>
        <v>0.6527777777777778</v>
      </c>
      <c r="L82" s="5" t="s">
        <v>19</v>
      </c>
      <c r="M82" s="4">
        <v>75</v>
      </c>
      <c r="N82" s="6" t="str">
        <f>HYPERLINK("https://www.bioscidb.com/tag/gettag/73a07e62-9bb1-4789-a154-0d0c6ff26a3a","Tag")</f>
        <v>Tag</v>
      </c>
      <c r="O82" s="4" t="s">
        <v>14</v>
      </c>
      <c r="P82" s="4"/>
      <c r="Q82" s="4" t="s">
        <v>14</v>
      </c>
      <c r="R82" s="4"/>
      <c r="S82" s="4" t="s">
        <v>14</v>
      </c>
      <c r="T82" s="26" t="s">
        <v>1027</v>
      </c>
      <c r="U82" s="6" t="str">
        <f>HYPERLINK("https://www.bioscidb.com/tag/gettag/e7bb970a-1554-4a88-ad15-6ba9c332346c","Tag")</f>
        <v>Tag</v>
      </c>
      <c r="V82" s="8">
        <v>5</v>
      </c>
      <c r="W82" s="6" t="str">
        <f>HYPERLINK("https://www.bioscidb.com/tag/gettag/367dc894-fc0c-4e58-83aa-27bd793e4a97","Tag")</f>
        <v>Tag</v>
      </c>
      <c r="X82" s="1" t="s">
        <v>211</v>
      </c>
      <c r="Y82" s="1" t="s">
        <v>14</v>
      </c>
      <c r="Z82" s="1" t="s">
        <v>21</v>
      </c>
      <c r="AA82" s="1" t="s">
        <v>699</v>
      </c>
      <c r="AB82" s="1" t="s">
        <v>698</v>
      </c>
    </row>
    <row r="83" spans="1:28" ht="12.75">
      <c r="A83" s="3" t="s">
        <v>722</v>
      </c>
      <c r="B83" s="1" t="s">
        <v>723</v>
      </c>
      <c r="C83" s="1" t="s">
        <v>724</v>
      </c>
      <c r="D83" s="17" t="s">
        <v>50</v>
      </c>
      <c r="E83" s="6" t="str">
        <f>HYPERLINK("https://www.bioscidb.com/browse/deal_bg/13834","Link")</f>
        <v>Link</v>
      </c>
      <c r="F83" s="1" t="s">
        <v>27</v>
      </c>
      <c r="G83" s="16" t="s">
        <v>725</v>
      </c>
      <c r="H83" s="4">
        <v>215</v>
      </c>
      <c r="I83" s="4" t="s">
        <v>14</v>
      </c>
      <c r="J83" s="4">
        <v>35</v>
      </c>
      <c r="K83" s="20">
        <f>J83/H83</f>
        <v>0.16279069767441862</v>
      </c>
      <c r="L83" s="5" t="s">
        <v>19</v>
      </c>
      <c r="M83" s="4">
        <v>180</v>
      </c>
      <c r="N83" s="6" t="str">
        <f>HYPERLINK("https://www.bioscidb.com/tag/gettag/3bbf2260-1ab2-49bd-9d2e-c887a5c70e5a","Tag")</f>
        <v>Tag</v>
      </c>
      <c r="O83" s="4" t="s">
        <v>14</v>
      </c>
      <c r="P83" s="4"/>
      <c r="Q83" s="4" t="s">
        <v>14</v>
      </c>
      <c r="R83" s="4"/>
      <c r="S83" s="4" t="s">
        <v>14</v>
      </c>
      <c r="T83" s="27"/>
      <c r="U83" s="4"/>
      <c r="V83" s="8"/>
      <c r="W83" s="4"/>
      <c r="X83" s="1" t="s">
        <v>211</v>
      </c>
      <c r="Y83" s="1" t="s">
        <v>14</v>
      </c>
      <c r="Z83" s="1" t="s">
        <v>139</v>
      </c>
      <c r="AA83" s="1" t="s">
        <v>89</v>
      </c>
      <c r="AB83" s="1" t="s">
        <v>726</v>
      </c>
    </row>
    <row r="84" spans="1:28" ht="12.75">
      <c r="A84" s="3" t="s">
        <v>627</v>
      </c>
      <c r="B84" s="1" t="s">
        <v>641</v>
      </c>
      <c r="C84" s="1" t="s">
        <v>642</v>
      </c>
      <c r="D84" s="1" t="s">
        <v>159</v>
      </c>
      <c r="E84" s="6" t="str">
        <f>HYPERLINK("https://www.bioscidb.com/browse/deal_bg/10734","Link")</f>
        <v>Link</v>
      </c>
      <c r="F84" s="1" t="s">
        <v>27</v>
      </c>
      <c r="G84" s="16" t="s">
        <v>643</v>
      </c>
      <c r="H84" s="4">
        <v>209</v>
      </c>
      <c r="I84" s="4">
        <v>55</v>
      </c>
      <c r="J84" s="4" t="s">
        <v>14</v>
      </c>
      <c r="K84" s="20">
        <f>I84/H84</f>
        <v>0.2631578947368421</v>
      </c>
      <c r="L84" s="5" t="s">
        <v>19</v>
      </c>
      <c r="M84" s="4">
        <v>64</v>
      </c>
      <c r="N84" s="6" t="str">
        <f>HYPERLINK("https://www.bioscidb.com/tag/gettag/615306f3-9e09-4201-9bdc-968a6fc672e0","Tag")</f>
        <v>Tag</v>
      </c>
      <c r="O84" s="4">
        <v>31</v>
      </c>
      <c r="P84" s="6" t="str">
        <f>HYPERLINK("https://www.bioscidb.com/tag/gettag/615306f3-9e09-4201-9bdc-968a6fc672e0","Tag")</f>
        <v>Tag</v>
      </c>
      <c r="Q84" s="4">
        <v>59</v>
      </c>
      <c r="R84" s="6" t="str">
        <f>HYPERLINK("https://www.bioscidb.com/tag/gettag/615306f3-9e09-4201-9bdc-968a6fc672e0","Tag")</f>
        <v>Tag</v>
      </c>
      <c r="S84" s="4" t="s">
        <v>14</v>
      </c>
      <c r="T84" s="26" t="s">
        <v>1001</v>
      </c>
      <c r="U84" s="6" t="str">
        <f>HYPERLINK("https://www.bioscidb.com/tag/gettag/689564fa-bc1b-412c-b03a-ed56111f34c3","Tag")</f>
        <v>Tag</v>
      </c>
      <c r="V84" s="8">
        <v>3</v>
      </c>
      <c r="W84" s="6" t="str">
        <f>HYPERLINK("https://www.bioscidb.com/tag/gettag/28217264-bfde-42e7-b0db-def709e3a1bd","Tag")</f>
        <v>Tag</v>
      </c>
      <c r="X84" s="1" t="s">
        <v>211</v>
      </c>
      <c r="Y84" s="1" t="s">
        <v>14</v>
      </c>
      <c r="Z84" s="1" t="s">
        <v>139</v>
      </c>
      <c r="AA84" s="1" t="s">
        <v>32</v>
      </c>
      <c r="AB84" s="1" t="s">
        <v>644</v>
      </c>
    </row>
    <row r="85" spans="1:28" ht="12.75">
      <c r="A85" s="3" t="s">
        <v>68</v>
      </c>
      <c r="B85" s="1" t="s">
        <v>231</v>
      </c>
      <c r="C85" s="1" t="s">
        <v>170</v>
      </c>
      <c r="D85" s="1" t="s">
        <v>56</v>
      </c>
      <c r="E85" s="6" t="str">
        <f>HYPERLINK("https://www.bioscidb.com/browse/deal_bg/7029","Link")</f>
        <v>Link</v>
      </c>
      <c r="F85" s="1" t="s">
        <v>27</v>
      </c>
      <c r="G85" s="16" t="s">
        <v>82</v>
      </c>
      <c r="H85" s="4">
        <v>206.3</v>
      </c>
      <c r="I85" s="4">
        <v>11.3</v>
      </c>
      <c r="J85" s="4" t="s">
        <v>14</v>
      </c>
      <c r="K85" s="20">
        <f>I85/H85</f>
        <v>0.054774600096946194</v>
      </c>
      <c r="L85" s="5" t="s">
        <v>19</v>
      </c>
      <c r="M85" s="4" t="s">
        <v>14</v>
      </c>
      <c r="N85" s="4"/>
      <c r="O85" s="4">
        <v>5</v>
      </c>
      <c r="P85" s="6" t="str">
        <f>HYPERLINK("https://www.bioscidb.com/tag/gettag/18057c58-1e35-47f2-a79e-4524ca3d446f","Tag")</f>
        <v>Tag</v>
      </c>
      <c r="Q85" s="4">
        <v>190</v>
      </c>
      <c r="R85" s="6" t="str">
        <f>HYPERLINK("https://www.bioscidb.com/tag/gettag/9c389085-7215-4ae8-b5fc-61c138e9df53","Tag")</f>
        <v>Tag</v>
      </c>
      <c r="S85" s="4" t="s">
        <v>14</v>
      </c>
      <c r="T85" s="26" t="s">
        <v>1001</v>
      </c>
      <c r="U85" s="6" t="str">
        <f>HYPERLINK("https://www.bioscidb.com/tag/gettag/2642a008-7b81-4613-8d41-4067cf5fc431","Tag")</f>
        <v>Tag</v>
      </c>
      <c r="V85" s="8">
        <v>20</v>
      </c>
      <c r="W85" s="6" t="str">
        <f>HYPERLINK("https://www.bioscidb.com/tag/gettag/2a131913-6700-4aac-8117-24985cc2e84d","Tag")</f>
        <v>Tag</v>
      </c>
      <c r="X85" s="1" t="s">
        <v>14</v>
      </c>
      <c r="Y85" s="1" t="s">
        <v>14</v>
      </c>
      <c r="Z85" s="1" t="s">
        <v>55</v>
      </c>
      <c r="AA85" s="1" t="s">
        <v>14</v>
      </c>
      <c r="AB85" s="1" t="s">
        <v>232</v>
      </c>
    </row>
    <row r="86" spans="1:28" ht="12.75">
      <c r="A86" s="3" t="s">
        <v>722</v>
      </c>
      <c r="B86" s="1" t="s">
        <v>788</v>
      </c>
      <c r="C86" s="1" t="s">
        <v>789</v>
      </c>
      <c r="D86" s="1" t="s">
        <v>131</v>
      </c>
      <c r="E86" s="6" t="str">
        <f>HYPERLINK("https://www.bioscidb.com/browse/deal_bg/14350","Link")</f>
        <v>Link</v>
      </c>
      <c r="F86" s="1" t="s">
        <v>27</v>
      </c>
      <c r="G86" s="16" t="s">
        <v>30</v>
      </c>
      <c r="H86" s="4">
        <v>200</v>
      </c>
      <c r="I86" s="4">
        <v>135</v>
      </c>
      <c r="J86" s="4" t="s">
        <v>14</v>
      </c>
      <c r="K86" s="20">
        <f>I86/H86</f>
        <v>0.675</v>
      </c>
      <c r="L86" s="5" t="s">
        <v>19</v>
      </c>
      <c r="M86" s="4" t="s">
        <v>14</v>
      </c>
      <c r="N86" s="4"/>
      <c r="O86" s="4">
        <v>15</v>
      </c>
      <c r="P86" s="6" t="str">
        <f>HYPERLINK("https://www.bioscidb.com/tag/gettag/f4136275-9c9a-4124-aa44-b824bd7910a0","Tag")</f>
        <v>Tag</v>
      </c>
      <c r="Q86" s="4">
        <v>50</v>
      </c>
      <c r="R86" s="4"/>
      <c r="S86" s="4" t="s">
        <v>14</v>
      </c>
      <c r="T86" s="27"/>
      <c r="U86" s="4"/>
      <c r="V86" s="8"/>
      <c r="W86" s="4"/>
      <c r="X86" s="1" t="s">
        <v>14</v>
      </c>
      <c r="Y86" s="1" t="s">
        <v>14</v>
      </c>
      <c r="Z86" s="1" t="s">
        <v>14</v>
      </c>
      <c r="AA86" s="1" t="s">
        <v>131</v>
      </c>
      <c r="AB86" s="1" t="s">
        <v>14</v>
      </c>
    </row>
    <row r="87" spans="1:28" ht="12.75">
      <c r="A87" s="3" t="s">
        <v>499</v>
      </c>
      <c r="B87" s="1" t="s">
        <v>505</v>
      </c>
      <c r="C87" s="1" t="s">
        <v>478</v>
      </c>
      <c r="D87" s="1" t="s">
        <v>131</v>
      </c>
      <c r="E87" s="6" t="str">
        <f>HYPERLINK("https://www.bioscidb.com/browse/deal_bg/6540","Link")</f>
        <v>Link</v>
      </c>
      <c r="F87" s="1" t="s">
        <v>27</v>
      </c>
      <c r="G87" s="16" t="s">
        <v>506</v>
      </c>
      <c r="H87" s="4">
        <v>189.3</v>
      </c>
      <c r="I87" s="4">
        <v>165</v>
      </c>
      <c r="J87" s="4" t="s">
        <v>14</v>
      </c>
      <c r="K87" s="20">
        <f>I87/H87</f>
        <v>0.8716323296354992</v>
      </c>
      <c r="L87" s="5" t="s">
        <v>19</v>
      </c>
      <c r="M87" s="4" t="s">
        <v>14</v>
      </c>
      <c r="N87" s="4"/>
      <c r="O87" s="4" t="s">
        <v>14</v>
      </c>
      <c r="P87" s="4"/>
      <c r="Q87" s="4">
        <v>25.3</v>
      </c>
      <c r="R87" s="6" t="str">
        <f>HYPERLINK("https://www.bioscidb.com/tag/gettag/6903cdc3-5ff2-4bc4-a994-64fcaf5d2d03","Tag")</f>
        <v>Tag</v>
      </c>
      <c r="S87" s="4" t="s">
        <v>14</v>
      </c>
      <c r="T87" s="26" t="s">
        <v>1002</v>
      </c>
      <c r="U87" s="6" t="str">
        <f>HYPERLINK("https://www.bioscidb.com/tag/gettag/0db032e3-be59-4a3d-b710-e5cf16644290","Tag")</f>
        <v>Tag</v>
      </c>
      <c r="V87" s="9">
        <v>2.8</v>
      </c>
      <c r="W87" s="6" t="str">
        <f>HYPERLINK("https://www.bioscidb.com/tag/gettag/f28fb272-d41d-4868-b921-b919bb1f7758","Tag")</f>
        <v>Tag</v>
      </c>
      <c r="X87" s="1" t="s">
        <v>14</v>
      </c>
      <c r="Y87" s="1" t="s">
        <v>66</v>
      </c>
      <c r="Z87" s="1" t="s">
        <v>508</v>
      </c>
      <c r="AA87" s="1" t="s">
        <v>131</v>
      </c>
      <c r="AB87" s="1" t="s">
        <v>507</v>
      </c>
    </row>
    <row r="88" spans="1:28" ht="25.5">
      <c r="A88" s="3" t="s">
        <v>447</v>
      </c>
      <c r="B88" s="1" t="s">
        <v>448</v>
      </c>
      <c r="C88" s="1" t="s">
        <v>449</v>
      </c>
      <c r="D88" s="1" t="s">
        <v>33</v>
      </c>
      <c r="E88" s="6" t="str">
        <f>HYPERLINK("https://www.bioscidb.com/browse/deal_bg/2273","Link")</f>
        <v>Link</v>
      </c>
      <c r="F88" s="1" t="s">
        <v>27</v>
      </c>
      <c r="G88" s="16" t="s">
        <v>450</v>
      </c>
      <c r="H88" s="4">
        <v>186</v>
      </c>
      <c r="I88" s="4">
        <v>179</v>
      </c>
      <c r="J88" s="4" t="s">
        <v>14</v>
      </c>
      <c r="K88" s="20">
        <f>I88/H88</f>
        <v>0.9623655913978495</v>
      </c>
      <c r="L88" s="5" t="s">
        <v>19</v>
      </c>
      <c r="M88" s="4" t="s">
        <v>14</v>
      </c>
      <c r="N88" s="4"/>
      <c r="O88" s="4" t="s">
        <v>14</v>
      </c>
      <c r="P88" s="4"/>
      <c r="Q88" s="4">
        <v>7</v>
      </c>
      <c r="R88" s="6" t="str">
        <f>HYPERLINK("https://www.bioscidb.com/tag/gettag/36caa7a9-7e83-41ac-bedb-44095f96f0e0","Tag")</f>
        <v>Tag</v>
      </c>
      <c r="S88" s="4" t="s">
        <v>14</v>
      </c>
      <c r="T88" s="26" t="s">
        <v>1028</v>
      </c>
      <c r="U88" s="6" t="str">
        <f>HYPERLINK("https://www.bioscidb.com/tag/gettag/918d7944-8dd1-4e42-9c9c-9c51aa0bdff3","Tag")</f>
        <v>Tag</v>
      </c>
      <c r="V88" s="8">
        <v>1</v>
      </c>
      <c r="W88" s="6" t="str">
        <f>HYPERLINK("https://www.bioscidb.com/tag/gettag/969b9db1-76ed-45a2-8edc-9a3d4acde391","Tag")</f>
        <v>Tag</v>
      </c>
      <c r="X88" s="1" t="s">
        <v>211</v>
      </c>
      <c r="Y88" s="1" t="s">
        <v>14</v>
      </c>
      <c r="Z88" s="1" t="s">
        <v>14</v>
      </c>
      <c r="AA88" s="1" t="s">
        <v>14</v>
      </c>
      <c r="AB88" s="1" t="s">
        <v>451</v>
      </c>
    </row>
    <row r="89" spans="1:28" ht="25.5">
      <c r="A89" s="3" t="s">
        <v>330</v>
      </c>
      <c r="B89" s="1" t="s">
        <v>331</v>
      </c>
      <c r="C89" s="1" t="s">
        <v>332</v>
      </c>
      <c r="D89" s="17" t="s">
        <v>159</v>
      </c>
      <c r="E89" s="6" t="str">
        <f>HYPERLINK("https://www.bioscidb.com/browse/deal_bg/1553","Link")</f>
        <v>Link</v>
      </c>
      <c r="F89" s="1" t="s">
        <v>15</v>
      </c>
      <c r="G89" s="16" t="s">
        <v>333</v>
      </c>
      <c r="H89" s="4">
        <v>180</v>
      </c>
      <c r="I89" s="4">
        <v>10</v>
      </c>
      <c r="J89" s="4" t="s">
        <v>14</v>
      </c>
      <c r="K89" s="20">
        <f>I89/H89</f>
        <v>0.05555555555555555</v>
      </c>
      <c r="L89" s="5" t="s">
        <v>19</v>
      </c>
      <c r="M89" s="4">
        <v>140</v>
      </c>
      <c r="N89" s="6" t="str">
        <f>HYPERLINK("https://www.bioscidb.com/tag/gettag/eb1959f6-fec7-41ec-82da-79574a02e431","Tag")</f>
        <v>Tag</v>
      </c>
      <c r="O89" s="4" t="s">
        <v>14</v>
      </c>
      <c r="P89" s="4"/>
      <c r="Q89" s="4">
        <v>30</v>
      </c>
      <c r="R89" s="6" t="str">
        <f>HYPERLINK("https://www.bioscidb.com/tag/gettag/1ea41a56-094e-49ba-b3a8-1e2a0986c86a","Tag")</f>
        <v>Tag</v>
      </c>
      <c r="S89" s="4" t="s">
        <v>14</v>
      </c>
      <c r="T89" s="26" t="s">
        <v>1029</v>
      </c>
      <c r="U89" s="6" t="str">
        <f>HYPERLINK("https://www.bioscidb.com/tag/gettag/408dcfae-06b4-47c2-a6b3-9a7ff8ff3974","Tag")</f>
        <v>Tag</v>
      </c>
      <c r="V89" s="8"/>
      <c r="W89" s="4"/>
      <c r="X89" s="1" t="s">
        <v>14</v>
      </c>
      <c r="Y89" s="1" t="s">
        <v>14</v>
      </c>
      <c r="Z89" s="1" t="s">
        <v>49</v>
      </c>
      <c r="AA89" s="1" t="s">
        <v>89</v>
      </c>
      <c r="AB89" s="1" t="s">
        <v>14</v>
      </c>
    </row>
    <row r="90" spans="1:28" ht="12.75">
      <c r="A90" s="3" t="s">
        <v>57</v>
      </c>
      <c r="B90" s="1" t="s">
        <v>58</v>
      </c>
      <c r="C90" s="1" t="s">
        <v>59</v>
      </c>
      <c r="D90" s="1" t="s">
        <v>56</v>
      </c>
      <c r="E90" s="6" t="str">
        <f>HYPERLINK("https://www.bioscidb.com/browse/deal_bg/548","Link")</f>
        <v>Link</v>
      </c>
      <c r="F90" s="1" t="s">
        <v>27</v>
      </c>
      <c r="G90" s="16" t="s">
        <v>30</v>
      </c>
      <c r="H90" s="4">
        <v>177.25</v>
      </c>
      <c r="I90" s="4">
        <v>122.25</v>
      </c>
      <c r="J90" s="4" t="s">
        <v>14</v>
      </c>
      <c r="K90" s="20">
        <f>I90/H90</f>
        <v>0.689703808180536</v>
      </c>
      <c r="L90" s="5" t="s">
        <v>19</v>
      </c>
      <c r="M90" s="4" t="s">
        <v>14</v>
      </c>
      <c r="N90" s="4"/>
      <c r="O90" s="4" t="s">
        <v>14</v>
      </c>
      <c r="P90" s="6" t="str">
        <f>HYPERLINK("https://www.bioscidb.com/tag/gettag/1a7444e2-308a-4932-bb40-1003e1f00fe4","Tag")</f>
        <v>Tag</v>
      </c>
      <c r="Q90" s="4">
        <v>30</v>
      </c>
      <c r="R90" s="6" t="str">
        <f>HYPERLINK("https://www.bioscidb.com/tag/gettag/e9d0f79f-4bd4-49ff-9918-e8e7056f5a08","Tag")</f>
        <v>Tag</v>
      </c>
      <c r="S90" s="4" t="s">
        <v>14</v>
      </c>
      <c r="T90" s="26" t="s">
        <v>1002</v>
      </c>
      <c r="U90" s="6" t="str">
        <f>HYPERLINK("https://www.bioscidb.com/tag/gettag/128b95a7-8df8-4915-bab8-6f7b5644f17a","Tag")</f>
        <v>Tag</v>
      </c>
      <c r="V90" s="8">
        <v>0.8</v>
      </c>
      <c r="W90" s="6" t="str">
        <f>HYPERLINK("https://www.bioscidb.com/tag/gettag/a31a0204-0bc4-4d02-9dc3-9533038604ff","Tag")</f>
        <v>Tag</v>
      </c>
      <c r="X90" s="1" t="s">
        <v>14</v>
      </c>
      <c r="Y90" s="1" t="s">
        <v>54</v>
      </c>
      <c r="Z90" s="1" t="s">
        <v>61</v>
      </c>
      <c r="AA90" s="1" t="s">
        <v>14</v>
      </c>
      <c r="AB90" s="1" t="s">
        <v>60</v>
      </c>
    </row>
    <row r="91" spans="1:28" ht="25.5">
      <c r="A91" s="3" t="s">
        <v>456</v>
      </c>
      <c r="B91" s="1" t="s">
        <v>954</v>
      </c>
      <c r="C91" s="1" t="s">
        <v>955</v>
      </c>
      <c r="D91" s="17" t="s">
        <v>56</v>
      </c>
      <c r="E91" s="6" t="str">
        <f>HYPERLINK("https://www.bioscidb.com/browse/deal_bg/4796","Link")</f>
        <v>Link</v>
      </c>
      <c r="F91" s="1" t="s">
        <v>15</v>
      </c>
      <c r="G91" s="16" t="s">
        <v>956</v>
      </c>
      <c r="H91" s="4">
        <v>170</v>
      </c>
      <c r="I91" s="4">
        <v>50</v>
      </c>
      <c r="J91" s="4" t="s">
        <v>14</v>
      </c>
      <c r="K91" s="20">
        <f>I91/H91</f>
        <v>0.29411764705882354</v>
      </c>
      <c r="L91" s="5" t="s">
        <v>19</v>
      </c>
      <c r="M91" s="4">
        <v>40</v>
      </c>
      <c r="N91" s="6" t="str">
        <f>HYPERLINK("https://www.bioscidb.com/tag/gettag/fe593b85-1fe9-4ff7-a8c3-3daf5bf92513","Tag")</f>
        <v>Tag</v>
      </c>
      <c r="O91" s="4" t="s">
        <v>14</v>
      </c>
      <c r="P91" s="4"/>
      <c r="Q91" s="4">
        <v>80</v>
      </c>
      <c r="R91" s="6" t="str">
        <f>HYPERLINK("https://www.bioscidb.com/tag/gettag/9aa19b61-6028-4630-a206-ddbdecbb5a89","Tag")</f>
        <v>Tag</v>
      </c>
      <c r="S91" s="4">
        <v>10</v>
      </c>
      <c r="T91" s="26" t="s">
        <v>1002</v>
      </c>
      <c r="U91" s="6" t="str">
        <f>HYPERLINK("https://www.bioscidb.com/tag/gettag/2f416026-6822-4bde-af48-58be60b81b3a","Tag")</f>
        <v>Tag</v>
      </c>
      <c r="V91" s="8">
        <v>15</v>
      </c>
      <c r="W91" s="6" t="str">
        <f>HYPERLINK("https://www.bioscidb.com/tag/gettag/681dce98-3d50-4877-9038-3cbaf6f30cba","Tag")</f>
        <v>Tag</v>
      </c>
      <c r="X91" s="1" t="s">
        <v>14</v>
      </c>
      <c r="Y91" s="1" t="s">
        <v>211</v>
      </c>
      <c r="Z91" s="1" t="s">
        <v>139</v>
      </c>
      <c r="AA91" s="1" t="s">
        <v>958</v>
      </c>
      <c r="AB91" s="1" t="s">
        <v>957</v>
      </c>
    </row>
    <row r="92" spans="1:28" ht="25.5">
      <c r="A92" s="3" t="s">
        <v>13</v>
      </c>
      <c r="B92" s="1" t="s">
        <v>16</v>
      </c>
      <c r="C92" s="1" t="s">
        <v>17</v>
      </c>
      <c r="D92" s="17" t="s">
        <v>56</v>
      </c>
      <c r="E92" s="6" t="str">
        <f>HYPERLINK("https://www.bioscidb.com/browse/deal_bg/518","Link")</f>
        <v>Link</v>
      </c>
      <c r="F92" s="1" t="s">
        <v>15</v>
      </c>
      <c r="G92" s="16" t="s">
        <v>18</v>
      </c>
      <c r="H92" s="4">
        <v>170</v>
      </c>
      <c r="I92" s="4">
        <v>85</v>
      </c>
      <c r="J92" s="4" t="s">
        <v>14</v>
      </c>
      <c r="K92" s="20">
        <f>I92/H92</f>
        <v>0.5</v>
      </c>
      <c r="L92" s="5" t="s">
        <v>19</v>
      </c>
      <c r="M92" s="4">
        <v>25</v>
      </c>
      <c r="N92" s="6" t="str">
        <f>HYPERLINK("https://www.bioscidb.com/tag/gettag/2c942927-78dc-4bb2-af42-6143b0cc30c6","Tag")</f>
        <v>Tag</v>
      </c>
      <c r="O92" s="4" t="s">
        <v>14</v>
      </c>
      <c r="P92" s="4"/>
      <c r="Q92" s="4">
        <v>60</v>
      </c>
      <c r="R92" s="6" t="str">
        <f>HYPERLINK("https://www.bioscidb.com/tag/gettag/14efed8f-dd83-44b7-b7a6-0bbb3beab224","Tag")</f>
        <v>Tag</v>
      </c>
      <c r="S92" s="4">
        <v>10</v>
      </c>
      <c r="T92" s="27"/>
      <c r="U92" s="4"/>
      <c r="V92" s="8"/>
      <c r="W92" s="4"/>
      <c r="X92" s="1" t="s">
        <v>14</v>
      </c>
      <c r="Y92" s="1" t="s">
        <v>14</v>
      </c>
      <c r="Z92" s="1" t="s">
        <v>21</v>
      </c>
      <c r="AA92" s="1" t="s">
        <v>22</v>
      </c>
      <c r="AB92" s="1" t="s">
        <v>20</v>
      </c>
    </row>
    <row r="93" spans="1:28" ht="25.5">
      <c r="A93" s="3" t="s">
        <v>914</v>
      </c>
      <c r="B93" s="1" t="s">
        <v>915</v>
      </c>
      <c r="C93" s="1" t="s">
        <v>916</v>
      </c>
      <c r="D93" s="1" t="s">
        <v>56</v>
      </c>
      <c r="E93" s="6" t="str">
        <f>HYPERLINK("https://www.bioscidb.com/browse/deal_bg/15418","Link")</f>
        <v>Link</v>
      </c>
      <c r="F93" s="1" t="s">
        <v>27</v>
      </c>
      <c r="G93" s="16" t="s">
        <v>917</v>
      </c>
      <c r="H93" s="4">
        <v>165</v>
      </c>
      <c r="I93" s="4" t="s">
        <v>14</v>
      </c>
      <c r="J93" s="4">
        <v>55</v>
      </c>
      <c r="K93" s="20">
        <f>J93/H93</f>
        <v>0.3333333333333333</v>
      </c>
      <c r="L93" s="5" t="s">
        <v>19</v>
      </c>
      <c r="M93" s="4">
        <v>110</v>
      </c>
      <c r="N93" s="6" t="str">
        <f>HYPERLINK("https://www.bioscidb.com/tag/gettag/fa1c291c-6398-47d4-9e39-1f78eef92303","Tag")</f>
        <v>Tag</v>
      </c>
      <c r="O93" s="4" t="s">
        <v>14</v>
      </c>
      <c r="P93" s="4"/>
      <c r="Q93" s="4" t="s">
        <v>14</v>
      </c>
      <c r="R93" s="4"/>
      <c r="S93" s="4" t="s">
        <v>14</v>
      </c>
      <c r="T93" s="26" t="s">
        <v>1016</v>
      </c>
      <c r="U93" s="6" t="str">
        <f>HYPERLINK("https://www.bioscidb.com/tag/gettag/b3360ee7-1ca6-44c3-99e1-ce0fac79973c","Tag")</f>
        <v>Tag</v>
      </c>
      <c r="V93" s="9">
        <v>0.5</v>
      </c>
      <c r="W93" s="6" t="str">
        <f>HYPERLINK("https://www.bioscidb.com/tag/gettag/d3b085ef-3688-405f-9026-949ff66e0e57","Tag")</f>
        <v>Tag</v>
      </c>
      <c r="X93" s="1" t="s">
        <v>211</v>
      </c>
      <c r="Y93" s="1" t="s">
        <v>211</v>
      </c>
      <c r="Z93" s="1" t="s">
        <v>143</v>
      </c>
      <c r="AA93" s="1" t="s">
        <v>89</v>
      </c>
      <c r="AB93" s="1" t="s">
        <v>918</v>
      </c>
    </row>
    <row r="94" spans="1:28" ht="12.75">
      <c r="A94" s="3" t="s">
        <v>570</v>
      </c>
      <c r="B94" s="1" t="s">
        <v>579</v>
      </c>
      <c r="C94" s="1" t="s">
        <v>580</v>
      </c>
      <c r="D94" s="1" t="s">
        <v>43</v>
      </c>
      <c r="E94" s="6" t="str">
        <f>HYPERLINK("https://www.bioscidb.com/browse/deal_bg/9775","Link")</f>
        <v>Link</v>
      </c>
      <c r="F94" s="1" t="s">
        <v>27</v>
      </c>
      <c r="G94" s="16" t="s">
        <v>581</v>
      </c>
      <c r="H94" s="4">
        <v>165</v>
      </c>
      <c r="I94" s="4">
        <v>12</v>
      </c>
      <c r="J94" s="4" t="s">
        <v>14</v>
      </c>
      <c r="K94" s="20">
        <f>I94/H94</f>
        <v>0.07272727272727272</v>
      </c>
      <c r="L94" s="5" t="s">
        <v>19</v>
      </c>
      <c r="M94" s="4">
        <v>7</v>
      </c>
      <c r="N94" s="6" t="str">
        <f>HYPERLINK("https://www.bioscidb.com/tag/gettag/1cbec055-9aeb-428d-9b95-c7e9cd73b3e5","Tag")</f>
        <v>Tag</v>
      </c>
      <c r="O94" s="4">
        <v>25</v>
      </c>
      <c r="P94" s="6" t="str">
        <f>HYPERLINK("https://www.bioscidb.com/tag/gettag/553f16f8-b641-4412-b816-3e4cca2d3eb2","Tag")</f>
        <v>Tag</v>
      </c>
      <c r="Q94" s="4">
        <v>121</v>
      </c>
      <c r="R94" s="6" t="str">
        <f>HYPERLINK("https://www.bioscidb.com/tag/gettag/a0cc6371-bf09-42b3-b269-723be993f608","Tag")</f>
        <v>Tag</v>
      </c>
      <c r="S94" s="4">
        <v>10</v>
      </c>
      <c r="T94" s="26" t="s">
        <v>1002</v>
      </c>
      <c r="U94" s="6" t="str">
        <f>HYPERLINK("https://www.bioscidb.com/tag/gettag/1ced372b-c2a3-47e6-bf04-1fcd8d2662ff","Tag")</f>
        <v>Tag</v>
      </c>
      <c r="V94" s="8"/>
      <c r="W94" s="4"/>
      <c r="X94" s="1" t="s">
        <v>211</v>
      </c>
      <c r="Y94" s="1" t="s">
        <v>14</v>
      </c>
      <c r="Z94" s="1" t="s">
        <v>55</v>
      </c>
      <c r="AA94" s="1" t="s">
        <v>89</v>
      </c>
      <c r="AB94" s="1" t="s">
        <v>582</v>
      </c>
    </row>
    <row r="95" spans="1:28" ht="25.5">
      <c r="A95" s="3" t="s">
        <v>414</v>
      </c>
      <c r="B95" s="1" t="s">
        <v>555</v>
      </c>
      <c r="C95" s="1" t="s">
        <v>692</v>
      </c>
      <c r="D95" s="1" t="s">
        <v>43</v>
      </c>
      <c r="E95" s="6" t="str">
        <f>HYPERLINK("https://www.bioscidb.com/browse/deal_bg/4212","Link")</f>
        <v>Link</v>
      </c>
      <c r="F95" s="1" t="s">
        <v>15</v>
      </c>
      <c r="G95" s="16" t="s">
        <v>693</v>
      </c>
      <c r="H95" s="4">
        <v>165</v>
      </c>
      <c r="I95" s="4">
        <v>5</v>
      </c>
      <c r="J95" s="4" t="s">
        <v>14</v>
      </c>
      <c r="K95" s="20">
        <f>I95/H95</f>
        <v>0.030303030303030304</v>
      </c>
      <c r="L95" s="5" t="s">
        <v>19</v>
      </c>
      <c r="M95" s="4">
        <v>75</v>
      </c>
      <c r="N95" s="6" t="str">
        <f>HYPERLINK("https://www.bioscidb.com/tag/gettag/9fb36d00-262a-4237-8265-4beff8437429","Tag")</f>
        <v>Tag</v>
      </c>
      <c r="O95" s="4" t="s">
        <v>14</v>
      </c>
      <c r="P95" s="4"/>
      <c r="Q95" s="4">
        <v>85</v>
      </c>
      <c r="R95" s="6" t="str">
        <f>HYPERLINK("https://www.bioscidb.com/tag/gettag/4dbd01b4-a8dd-46c8-ade0-5950b65ccc9d","Tag")</f>
        <v>Tag</v>
      </c>
      <c r="S95" s="4">
        <v>12.5</v>
      </c>
      <c r="T95" s="27"/>
      <c r="U95" s="4"/>
      <c r="V95" s="8"/>
      <c r="W95" s="4"/>
      <c r="X95" s="1" t="s">
        <v>79</v>
      </c>
      <c r="Y95" s="1" t="s">
        <v>211</v>
      </c>
      <c r="Z95" s="1" t="s">
        <v>139</v>
      </c>
      <c r="AA95" s="1" t="s">
        <v>22</v>
      </c>
      <c r="AB95" s="1" t="s">
        <v>14</v>
      </c>
    </row>
    <row r="96" spans="1:28" ht="25.5">
      <c r="A96" s="3" t="s">
        <v>570</v>
      </c>
      <c r="B96" s="1" t="s">
        <v>597</v>
      </c>
      <c r="C96" s="1" t="s">
        <v>598</v>
      </c>
      <c r="D96" s="1" t="s">
        <v>280</v>
      </c>
      <c r="E96" s="6" t="str">
        <f>HYPERLINK("https://www.bioscidb.com/browse/deal_bg/9547","Link")</f>
        <v>Link</v>
      </c>
      <c r="F96" s="1" t="s">
        <v>27</v>
      </c>
      <c r="G96" s="16" t="s">
        <v>599</v>
      </c>
      <c r="H96" s="4">
        <v>150</v>
      </c>
      <c r="I96" s="4">
        <v>80</v>
      </c>
      <c r="J96" s="4" t="s">
        <v>14</v>
      </c>
      <c r="K96" s="20">
        <f>I96/H96</f>
        <v>0.5333333333333333</v>
      </c>
      <c r="L96" s="5" t="s">
        <v>19</v>
      </c>
      <c r="M96" s="4" t="s">
        <v>14</v>
      </c>
      <c r="N96" s="4"/>
      <c r="O96" s="4" t="s">
        <v>14</v>
      </c>
      <c r="P96" s="4"/>
      <c r="Q96" s="4">
        <v>70</v>
      </c>
      <c r="R96" s="6" t="str">
        <f>HYPERLINK("https://www.bioscidb.com/tag/gettag/8c51fb07-08a8-442e-a71f-5bfccd6f05ed","Tag")</f>
        <v>Tag</v>
      </c>
      <c r="S96" s="4">
        <v>8</v>
      </c>
      <c r="T96" s="26" t="s">
        <v>1002</v>
      </c>
      <c r="U96" s="6" t="str">
        <f>HYPERLINK("https://www.bioscidb.com/tag/gettag/c73ac2e6-b90c-469b-aaa3-61a35b1d5e5c","Tag")</f>
        <v>Tag</v>
      </c>
      <c r="V96" s="8">
        <v>10.5</v>
      </c>
      <c r="W96" s="6" t="str">
        <f>HYPERLINK("https://www.bioscidb.com/tag/gettag/3088bd4e-0243-4999-a7b7-ad88b74c60e5","Tag")</f>
        <v>Tag</v>
      </c>
      <c r="X96" s="1" t="s">
        <v>14</v>
      </c>
      <c r="Y96" s="1" t="s">
        <v>14</v>
      </c>
      <c r="Z96" s="1" t="s">
        <v>55</v>
      </c>
      <c r="AA96" s="1" t="s">
        <v>286</v>
      </c>
      <c r="AB96" s="1" t="s">
        <v>600</v>
      </c>
    </row>
    <row r="97" spans="1:28" ht="12.75">
      <c r="A97" s="3" t="s">
        <v>290</v>
      </c>
      <c r="B97" s="1" t="s">
        <v>291</v>
      </c>
      <c r="C97" s="1" t="s">
        <v>292</v>
      </c>
      <c r="D97" s="1" t="s">
        <v>56</v>
      </c>
      <c r="E97" s="6" t="str">
        <f>HYPERLINK("https://www.bioscidb.com/browse/deal_bg/6600","Link")</f>
        <v>Link</v>
      </c>
      <c r="F97" s="1" t="s">
        <v>27</v>
      </c>
      <c r="G97" s="16" t="s">
        <v>30</v>
      </c>
      <c r="H97" s="4">
        <v>150</v>
      </c>
      <c r="I97" s="4">
        <v>125</v>
      </c>
      <c r="J97" s="4" t="s">
        <v>14</v>
      </c>
      <c r="K97" s="20">
        <f>I97/H97</f>
        <v>0.8333333333333334</v>
      </c>
      <c r="L97" s="5" t="s">
        <v>19</v>
      </c>
      <c r="M97" s="4" t="s">
        <v>14</v>
      </c>
      <c r="N97" s="4"/>
      <c r="O97" s="4">
        <v>6</v>
      </c>
      <c r="P97" s="6" t="str">
        <f>HYPERLINK("https://www.bioscidb.com/tag/gettag/98c79a1a-c309-404a-a203-8b816ea94895","Tag")</f>
        <v>Tag</v>
      </c>
      <c r="Q97" s="4">
        <v>19</v>
      </c>
      <c r="R97" s="6" t="str">
        <f>HYPERLINK("https://www.bioscidb.com/tag/gettag/467f8552-c5c8-488c-a498-73465fd103a6","Tag")</f>
        <v>Tag</v>
      </c>
      <c r="S97" s="4" t="s">
        <v>14</v>
      </c>
      <c r="T97" s="26" t="s">
        <v>1002</v>
      </c>
      <c r="U97" s="6" t="str">
        <f>HYPERLINK("https://www.bioscidb.com/tag/gettag/a78a066a-8437-4256-96cf-16d36b02492b","Tag")</f>
        <v>Tag</v>
      </c>
      <c r="V97" s="8"/>
      <c r="W97" s="4"/>
      <c r="X97" s="1" t="s">
        <v>14</v>
      </c>
      <c r="Y97" s="1" t="s">
        <v>14</v>
      </c>
      <c r="Z97" s="1" t="s">
        <v>21</v>
      </c>
      <c r="AA97" s="1" t="s">
        <v>14</v>
      </c>
      <c r="AB97" s="1" t="s">
        <v>293</v>
      </c>
    </row>
    <row r="98" spans="1:28" ht="12.75">
      <c r="A98" s="3" t="s">
        <v>773</v>
      </c>
      <c r="B98" s="1" t="s">
        <v>784</v>
      </c>
      <c r="C98" s="1" t="s">
        <v>785</v>
      </c>
      <c r="D98" s="1" t="s">
        <v>67</v>
      </c>
      <c r="E98" s="6" t="str">
        <f>HYPERLINK("https://www.bioscidb.com/browse/deal_bg/14351","Link")</f>
        <v>Link</v>
      </c>
      <c r="F98" s="1" t="s">
        <v>27</v>
      </c>
      <c r="G98" s="16" t="s">
        <v>786</v>
      </c>
      <c r="H98" s="4">
        <v>137.4</v>
      </c>
      <c r="I98" s="4" t="s">
        <v>14</v>
      </c>
      <c r="J98" s="4">
        <v>57.4</v>
      </c>
      <c r="K98" s="20">
        <f>J98/H98</f>
        <v>0.4177583697234352</v>
      </c>
      <c r="L98" s="5" t="s">
        <v>19</v>
      </c>
      <c r="M98" s="4" t="s">
        <v>14</v>
      </c>
      <c r="N98" s="4"/>
      <c r="O98" s="4">
        <v>80</v>
      </c>
      <c r="P98" s="6" t="str">
        <f>HYPERLINK("https://www.bioscidb.com/tag/gettag/e27be2b7-7700-4f97-8343-bcd51a629efd","Tag")</f>
        <v>Tag</v>
      </c>
      <c r="Q98" s="4" t="s">
        <v>14</v>
      </c>
      <c r="R98" s="4"/>
      <c r="S98" s="4" t="s">
        <v>14</v>
      </c>
      <c r="T98" s="26" t="s">
        <v>1001</v>
      </c>
      <c r="U98" s="6" t="str">
        <f>HYPERLINK("https://www.bioscidb.com/tag/gettag/5a1fdf4e-f564-4058-bcaf-670d3ad98c7c","Tag")</f>
        <v>Tag</v>
      </c>
      <c r="V98" s="8">
        <v>5</v>
      </c>
      <c r="W98" s="6" t="str">
        <f>HYPERLINK("https://www.bioscidb.com/tag/gettag/5e02106d-8a5e-4799-882b-067b826ac476","Tag")</f>
        <v>Tag</v>
      </c>
      <c r="X98" s="1" t="s">
        <v>211</v>
      </c>
      <c r="Y98" s="1" t="s">
        <v>14</v>
      </c>
      <c r="Z98" s="1" t="s">
        <v>55</v>
      </c>
      <c r="AA98" s="1" t="s">
        <v>14</v>
      </c>
      <c r="AB98" s="1" t="s">
        <v>787</v>
      </c>
    </row>
    <row r="99" spans="1:28" ht="12.75">
      <c r="A99" s="3" t="s">
        <v>245</v>
      </c>
      <c r="B99" s="1" t="s">
        <v>274</v>
      </c>
      <c r="C99" s="1" t="s">
        <v>275</v>
      </c>
      <c r="D99" s="17" t="s">
        <v>43</v>
      </c>
      <c r="E99" s="6" t="str">
        <f>HYPERLINK("https://www.bioscidb.com/browse/deal_bg/7574","Link")</f>
        <v>Link</v>
      </c>
      <c r="F99" s="1" t="s">
        <v>27</v>
      </c>
      <c r="G99" s="16" t="s">
        <v>100</v>
      </c>
      <c r="H99" s="4">
        <v>135.5</v>
      </c>
      <c r="I99" s="4">
        <v>96.8</v>
      </c>
      <c r="J99" s="4" t="s">
        <v>14</v>
      </c>
      <c r="K99" s="20">
        <f>I99/H99</f>
        <v>0.7143911439114391</v>
      </c>
      <c r="L99" s="5" t="s">
        <v>19</v>
      </c>
      <c r="M99" s="4" t="s">
        <v>14</v>
      </c>
      <c r="N99" s="4"/>
      <c r="O99" s="4">
        <v>38.7</v>
      </c>
      <c r="P99" s="6" t="str">
        <f>HYPERLINK("https://www.bioscidb.com/tag/gettag/877e1060-4b01-4838-8f05-3e638a9ac9d4","Tag")</f>
        <v>Tag</v>
      </c>
      <c r="Q99" s="4" t="s">
        <v>14</v>
      </c>
      <c r="R99" s="4"/>
      <c r="S99" s="4" t="s">
        <v>14</v>
      </c>
      <c r="T99" s="26" t="s">
        <v>1002</v>
      </c>
      <c r="U99" s="6" t="str">
        <f>HYPERLINK("https://www.bioscidb.com/tag/gettag/776f03bc-2a22-43fe-85d2-2e86fb7b36c5","Tag")</f>
        <v>Tag</v>
      </c>
      <c r="V99" s="8">
        <v>3</v>
      </c>
      <c r="W99" s="6" t="str">
        <f>HYPERLINK("https://www.bioscidb.com/tag/gettag/81c000b4-bdf4-4595-b346-910877ce06c8","Tag")</f>
        <v>Tag</v>
      </c>
      <c r="X99" s="1" t="s">
        <v>14</v>
      </c>
      <c r="Y99" s="1" t="s">
        <v>14</v>
      </c>
      <c r="Z99" s="1" t="s">
        <v>95</v>
      </c>
      <c r="AA99" s="1" t="s">
        <v>14</v>
      </c>
      <c r="AB99" s="1" t="s">
        <v>276</v>
      </c>
    </row>
    <row r="100" spans="1:28" ht="25.5">
      <c r="A100" s="3" t="s">
        <v>583</v>
      </c>
      <c r="B100" s="1" t="s">
        <v>718</v>
      </c>
      <c r="C100" s="1" t="s">
        <v>478</v>
      </c>
      <c r="D100" s="1" t="s">
        <v>56</v>
      </c>
      <c r="E100" s="6" t="str">
        <f>HYPERLINK("https://www.bioscidb.com/browse/deal_bg/6801","Link")</f>
        <v>Link</v>
      </c>
      <c r="F100" s="1" t="s">
        <v>15</v>
      </c>
      <c r="G100" s="16" t="s">
        <v>719</v>
      </c>
      <c r="H100" s="4">
        <v>132.5</v>
      </c>
      <c r="I100" s="4">
        <v>112.5</v>
      </c>
      <c r="J100" s="4" t="s">
        <v>14</v>
      </c>
      <c r="K100" s="20">
        <f>I100/H100</f>
        <v>0.8490566037735849</v>
      </c>
      <c r="L100" s="5" t="s">
        <v>19</v>
      </c>
      <c r="M100" s="4" t="s">
        <v>14</v>
      </c>
      <c r="N100" s="4"/>
      <c r="O100" s="4" t="s">
        <v>14</v>
      </c>
      <c r="P100" s="4"/>
      <c r="Q100" s="4">
        <v>20</v>
      </c>
      <c r="R100" s="6" t="str">
        <f>HYPERLINK("https://www.bioscidb.com/tag/gettag/2e4a626b-2437-4a3d-af38-8e797d325034","Tag")</f>
        <v>Tag</v>
      </c>
      <c r="S100" s="4">
        <v>7.000000000000001</v>
      </c>
      <c r="T100" s="27"/>
      <c r="U100" s="4"/>
      <c r="V100" s="8"/>
      <c r="W100" s="4"/>
      <c r="X100" s="1" t="s">
        <v>14</v>
      </c>
      <c r="Y100" s="1" t="s">
        <v>66</v>
      </c>
      <c r="Z100" s="1" t="s">
        <v>156</v>
      </c>
      <c r="AA100" s="1" t="s">
        <v>721</v>
      </c>
      <c r="AB100" s="1" t="s">
        <v>720</v>
      </c>
    </row>
    <row r="101" spans="1:28" ht="25.5">
      <c r="A101" s="3" t="s">
        <v>688</v>
      </c>
      <c r="B101" s="1" t="s">
        <v>689</v>
      </c>
      <c r="C101" s="1" t="s">
        <v>690</v>
      </c>
      <c r="D101" s="1" t="s">
        <v>56</v>
      </c>
      <c r="E101" s="6" t="str">
        <f>HYPERLINK("https://www.bioscidb.com/browse/deal_bg/12885","Link")</f>
        <v>Link</v>
      </c>
      <c r="F101" s="1" t="s">
        <v>27</v>
      </c>
      <c r="G101" s="16" t="s">
        <v>691</v>
      </c>
      <c r="H101" s="4">
        <v>125</v>
      </c>
      <c r="I101" s="4">
        <v>15</v>
      </c>
      <c r="J101" s="4" t="s">
        <v>14</v>
      </c>
      <c r="K101" s="20">
        <f>I101/H101</f>
        <v>0.12</v>
      </c>
      <c r="L101" s="5" t="s">
        <v>19</v>
      </c>
      <c r="M101" s="4">
        <v>15</v>
      </c>
      <c r="N101" s="6" t="str">
        <f>HYPERLINK("https://www.bioscidb.com/tag/gettag/4429e322-4403-45cf-8f6d-7ee3ef4d9b46","Tag")</f>
        <v>Tag</v>
      </c>
      <c r="O101" s="4" t="s">
        <v>14</v>
      </c>
      <c r="P101" s="4"/>
      <c r="Q101" s="4">
        <v>95</v>
      </c>
      <c r="R101" s="6" t="str">
        <f>HYPERLINK("https://www.bioscidb.com/tag/gettag/52a4bcd0-b9ef-4ca9-9cf8-67a853b09053","Tag")</f>
        <v>Tag</v>
      </c>
      <c r="S101" s="4">
        <v>16</v>
      </c>
      <c r="T101" s="26" t="s">
        <v>1002</v>
      </c>
      <c r="U101" s="6" t="str">
        <f>HYPERLINK("https://www.bioscidb.com/tag/gettag/f88e980d-9622-4377-a872-bad1beb35ff3","Tag")</f>
        <v>Tag</v>
      </c>
      <c r="V101" s="8"/>
      <c r="W101" s="4"/>
      <c r="X101" s="1" t="s">
        <v>14</v>
      </c>
      <c r="Y101" s="1" t="s">
        <v>14</v>
      </c>
      <c r="Z101" s="1" t="s">
        <v>156</v>
      </c>
      <c r="AA101" s="1" t="s">
        <v>32</v>
      </c>
      <c r="AB101" s="1" t="s">
        <v>14</v>
      </c>
    </row>
    <row r="102" spans="1:28" ht="12.75">
      <c r="A102" s="3" t="s">
        <v>190</v>
      </c>
      <c r="B102" s="1" t="s">
        <v>433</v>
      </c>
      <c r="C102" s="1" t="s">
        <v>434</v>
      </c>
      <c r="D102" s="1" t="s">
        <v>43</v>
      </c>
      <c r="E102" s="6" t="str">
        <f>HYPERLINK("https://www.bioscidb.com/browse/deal_bg/2482","Link")</f>
        <v>Link</v>
      </c>
      <c r="F102" s="1" t="s">
        <v>27</v>
      </c>
      <c r="G102" s="16" t="s">
        <v>206</v>
      </c>
      <c r="H102" s="4">
        <v>124.1</v>
      </c>
      <c r="I102" s="4" t="s">
        <v>14</v>
      </c>
      <c r="J102" s="4">
        <v>34.1</v>
      </c>
      <c r="K102" s="20">
        <f>J102/H102</f>
        <v>0.27477840451248997</v>
      </c>
      <c r="L102" s="5" t="s">
        <v>19</v>
      </c>
      <c r="M102" s="4">
        <v>40</v>
      </c>
      <c r="N102" s="6" t="str">
        <f>HYPERLINK("https://www.bioscidb.com/tag/gettag/a69c4432-ed22-4b0a-8b32-d6ae483245f1","Tag")</f>
        <v>Tag</v>
      </c>
      <c r="O102" s="4" t="s">
        <v>14</v>
      </c>
      <c r="P102" s="6" t="str">
        <f>HYPERLINK("https://www.bioscidb.com/tag/gettag/a69c4432-ed22-4b0a-8b32-d6ae483245f1","Tag")</f>
        <v>Tag</v>
      </c>
      <c r="Q102" s="4">
        <v>50</v>
      </c>
      <c r="R102" s="6" t="str">
        <f>HYPERLINK("https://www.bioscidb.com/tag/gettag/0eac1d10-93e9-4da8-9fc1-454fc7761061","Tag")</f>
        <v>Tag</v>
      </c>
      <c r="S102" s="4" t="s">
        <v>14</v>
      </c>
      <c r="T102" s="26" t="s">
        <v>1002</v>
      </c>
      <c r="U102" s="6" t="str">
        <f>HYPERLINK("https://www.bioscidb.com/tag/gettag/2a0e26b1-0495-41b9-b8f7-d2fbc19275d8","Tag")</f>
        <v>Tag</v>
      </c>
      <c r="V102" s="8"/>
      <c r="W102" s="6" t="str">
        <f>HYPERLINK("https://www.bioscidb.com/tag/gettag/0219760a-8715-4ed6-b4a3-8415afad8767","Tag")</f>
        <v>Tag</v>
      </c>
      <c r="X102" s="1" t="s">
        <v>436</v>
      </c>
      <c r="Y102" s="1" t="s">
        <v>14</v>
      </c>
      <c r="Z102" s="1" t="s">
        <v>55</v>
      </c>
      <c r="AA102" s="1" t="s">
        <v>437</v>
      </c>
      <c r="AB102" s="1" t="s">
        <v>435</v>
      </c>
    </row>
    <row r="103" spans="1:28" ht="12.75">
      <c r="A103" s="3" t="s">
        <v>238</v>
      </c>
      <c r="B103" s="1" t="s">
        <v>93</v>
      </c>
      <c r="C103" s="1" t="s">
        <v>611</v>
      </c>
      <c r="D103" s="1" t="s">
        <v>56</v>
      </c>
      <c r="E103" s="6" t="str">
        <f>HYPERLINK("https://www.bioscidb.com/browse/deal_bg/7198","Link")</f>
        <v>Link</v>
      </c>
      <c r="F103" s="1" t="s">
        <v>15</v>
      </c>
      <c r="G103" s="16" t="s">
        <v>612</v>
      </c>
      <c r="H103" s="4">
        <v>120</v>
      </c>
      <c r="I103" s="4">
        <v>50</v>
      </c>
      <c r="J103" s="4" t="s">
        <v>14</v>
      </c>
      <c r="K103" s="20">
        <f>I103/H103</f>
        <v>0.4166666666666667</v>
      </c>
      <c r="L103" s="5" t="s">
        <v>19</v>
      </c>
      <c r="M103" s="4" t="s">
        <v>14</v>
      </c>
      <c r="N103" s="4"/>
      <c r="O103" s="4" t="s">
        <v>14</v>
      </c>
      <c r="P103" s="4"/>
      <c r="Q103" s="4">
        <v>70</v>
      </c>
      <c r="R103" s="6" t="str">
        <f>HYPERLINK("https://www.bioscidb.com/tag/gettag/33d86299-422a-42e9-b6b2-429f4594fb9b","Tag")</f>
        <v>Tag</v>
      </c>
      <c r="S103" s="4" t="s">
        <v>14</v>
      </c>
      <c r="T103" s="26" t="s">
        <v>1002</v>
      </c>
      <c r="U103" s="6" t="str">
        <f>HYPERLINK("https://www.bioscidb.com/tag/gettag/7207c12c-ac2e-43d5-863e-9620df175000","Tag")</f>
        <v>Tag</v>
      </c>
      <c r="V103" s="8">
        <v>15</v>
      </c>
      <c r="W103" s="6" t="str">
        <f>HYPERLINK("https://www.bioscidb.com/tag/gettag/fe90a804-c385-46cf-88b4-cbd1855601bf","Tag")</f>
        <v>Tag</v>
      </c>
      <c r="X103" s="1" t="s">
        <v>79</v>
      </c>
      <c r="Y103" s="1" t="s">
        <v>14</v>
      </c>
      <c r="Z103" s="1" t="s">
        <v>24</v>
      </c>
      <c r="AA103" s="1" t="s">
        <v>84</v>
      </c>
      <c r="AB103" s="1" t="s">
        <v>14</v>
      </c>
    </row>
    <row r="104" spans="1:28" ht="25.5">
      <c r="A104" s="3" t="s">
        <v>648</v>
      </c>
      <c r="B104" s="1" t="s">
        <v>649</v>
      </c>
      <c r="C104" s="1" t="s">
        <v>650</v>
      </c>
      <c r="D104" s="17" t="s">
        <v>43</v>
      </c>
      <c r="E104" s="6" t="str">
        <f>HYPERLINK("https://www.bioscidb.com/browse/deal_bg/12085","Link")</f>
        <v>Link</v>
      </c>
      <c r="F104" s="1" t="s">
        <v>27</v>
      </c>
      <c r="G104" s="16" t="s">
        <v>651</v>
      </c>
      <c r="H104" s="4">
        <v>117</v>
      </c>
      <c r="I104" s="4">
        <v>42</v>
      </c>
      <c r="J104" s="4" t="s">
        <v>14</v>
      </c>
      <c r="K104" s="20">
        <f>I104/H104</f>
        <v>0.358974358974359</v>
      </c>
      <c r="L104" s="5" t="s">
        <v>19</v>
      </c>
      <c r="M104" s="4">
        <v>10</v>
      </c>
      <c r="N104" s="6" t="str">
        <f>HYPERLINK("https://www.bioscidb.com/tag/gettag/7c24059e-7a3c-42a8-9d9f-f3034bd2ad3c","Tag")</f>
        <v>Tag</v>
      </c>
      <c r="O104" s="4">
        <v>15</v>
      </c>
      <c r="P104" s="6" t="str">
        <f>HYPERLINK("https://www.bioscidb.com/tag/gettag/7c24059e-7a3c-42a8-9d9f-f3034bd2ad3c","Tag")</f>
        <v>Tag</v>
      </c>
      <c r="Q104" s="4">
        <v>50</v>
      </c>
      <c r="R104" s="6" t="str">
        <f>HYPERLINK("https://www.bioscidb.com/tag/gettag/7c24059e-7a3c-42a8-9d9f-f3034bd2ad3c","Tag")</f>
        <v>Tag</v>
      </c>
      <c r="S104" s="4" t="s">
        <v>14</v>
      </c>
      <c r="T104" s="26" t="s">
        <v>1026</v>
      </c>
      <c r="U104" s="6" t="str">
        <f>HYPERLINK("https://www.bioscidb.com/tag/gettag/fd2704ac-eb3f-4fa3-b553-a7519c15fcf1","Tag")</f>
        <v>Tag</v>
      </c>
      <c r="V104" s="8">
        <v>12</v>
      </c>
      <c r="W104" s="6" t="str">
        <f>HYPERLINK("https://www.bioscidb.com/tag/gettag/ba7f5e27-6dcf-434d-8576-6f95e6ef9a65","Tag")</f>
        <v>Tag</v>
      </c>
      <c r="X104" s="1" t="s">
        <v>14</v>
      </c>
      <c r="Y104" s="1" t="s">
        <v>66</v>
      </c>
      <c r="Z104" s="1" t="s">
        <v>653</v>
      </c>
      <c r="AA104" s="1" t="s">
        <v>22</v>
      </c>
      <c r="AB104" s="1" t="s">
        <v>652</v>
      </c>
    </row>
    <row r="105" spans="1:28" ht="12.75">
      <c r="A105" s="3" t="s">
        <v>184</v>
      </c>
      <c r="B105" s="1" t="s">
        <v>185</v>
      </c>
      <c r="C105" s="1" t="s">
        <v>186</v>
      </c>
      <c r="D105" s="1" t="s">
        <v>131</v>
      </c>
      <c r="E105" s="6" t="str">
        <f>HYPERLINK("https://www.bioscidb.com/browse/deal_bg/7914","Link")</f>
        <v>Link</v>
      </c>
      <c r="F105" s="1" t="s">
        <v>27</v>
      </c>
      <c r="G105" s="16" t="s">
        <v>187</v>
      </c>
      <c r="H105" s="4">
        <v>117</v>
      </c>
      <c r="I105" s="4">
        <v>107</v>
      </c>
      <c r="J105" s="4" t="s">
        <v>14</v>
      </c>
      <c r="K105" s="20">
        <f>I105/H105</f>
        <v>0.9145299145299145</v>
      </c>
      <c r="L105" s="5" t="s">
        <v>19</v>
      </c>
      <c r="M105" s="4" t="s">
        <v>14</v>
      </c>
      <c r="N105" s="4"/>
      <c r="O105" s="4" t="s">
        <v>14</v>
      </c>
      <c r="P105" s="4"/>
      <c r="Q105" s="4">
        <v>10</v>
      </c>
      <c r="R105" s="6" t="str">
        <f>HYPERLINK("https://www.bioscidb.com/tag/gettag/846aeca5-fb12-4be3-b3d5-119c4fd5c298","Tag")</f>
        <v>Tag</v>
      </c>
      <c r="S105" s="4" t="s">
        <v>14</v>
      </c>
      <c r="T105" s="26" t="s">
        <v>1030</v>
      </c>
      <c r="U105" s="6" t="str">
        <f>HYPERLINK("https://www.bioscidb.com/tag/gettag/4b1476e1-b880-4c4b-afb5-715bef0c2f33","Tag")</f>
        <v>Tag</v>
      </c>
      <c r="V105" s="8">
        <v>1</v>
      </c>
      <c r="W105" s="6" t="str">
        <f>HYPERLINK("https://www.bioscidb.com/tag/gettag/9f88373b-66ab-43ad-9514-0dcef639d0c0","Tag")</f>
        <v>Tag</v>
      </c>
      <c r="X105" s="1" t="s">
        <v>14</v>
      </c>
      <c r="Y105" s="1" t="s">
        <v>14</v>
      </c>
      <c r="Z105" s="1" t="s">
        <v>189</v>
      </c>
      <c r="AA105" s="1" t="s">
        <v>131</v>
      </c>
      <c r="AB105" s="1" t="s">
        <v>188</v>
      </c>
    </row>
    <row r="106" spans="1:28" ht="12.75">
      <c r="A106" s="3" t="s">
        <v>277</v>
      </c>
      <c r="B106" s="1" t="s">
        <v>833</v>
      </c>
      <c r="C106" s="1" t="s">
        <v>120</v>
      </c>
      <c r="D106" s="1" t="s">
        <v>25</v>
      </c>
      <c r="E106" s="6" t="str">
        <f>HYPERLINK("https://www.bioscidb.com/browse/deal_bg/1753","Link")</f>
        <v>Link</v>
      </c>
      <c r="F106" s="1" t="s">
        <v>15</v>
      </c>
      <c r="G106" s="16" t="s">
        <v>834</v>
      </c>
      <c r="H106" s="4">
        <v>115</v>
      </c>
      <c r="I106" s="4">
        <v>115</v>
      </c>
      <c r="J106" s="4" t="s">
        <v>14</v>
      </c>
      <c r="K106" s="20"/>
      <c r="L106" s="5" t="s">
        <v>19</v>
      </c>
      <c r="M106" s="4" t="s">
        <v>14</v>
      </c>
      <c r="N106" s="4"/>
      <c r="O106" s="4" t="s">
        <v>14</v>
      </c>
      <c r="P106" s="6" t="str">
        <f>HYPERLINK("https://www.bioscidb.com/tag/gettag/ee0ec1e2-6588-4e0b-9890-1dc5a29fd42b","Tag")</f>
        <v>Tag</v>
      </c>
      <c r="Q106" s="4" t="s">
        <v>14</v>
      </c>
      <c r="R106" s="4"/>
      <c r="S106" s="4" t="s">
        <v>14</v>
      </c>
      <c r="T106" s="27"/>
      <c r="U106" s="4"/>
      <c r="V106" s="8"/>
      <c r="W106" s="4"/>
      <c r="X106" s="1" t="s">
        <v>14</v>
      </c>
      <c r="Y106" s="1" t="s">
        <v>79</v>
      </c>
      <c r="Z106" s="1" t="s">
        <v>346</v>
      </c>
      <c r="AA106" s="1" t="s">
        <v>32</v>
      </c>
      <c r="AB106" s="1" t="s">
        <v>835</v>
      </c>
    </row>
    <row r="107" spans="1:28" ht="12.75">
      <c r="A107" s="3" t="s">
        <v>238</v>
      </c>
      <c r="B107" s="1" t="s">
        <v>239</v>
      </c>
      <c r="C107" s="1" t="s">
        <v>240</v>
      </c>
      <c r="D107" s="1" t="s">
        <v>43</v>
      </c>
      <c r="E107" s="6" t="str">
        <f>HYPERLINK("https://www.bioscidb.com/browse/deal_bg/7429","Link")</f>
        <v>Link</v>
      </c>
      <c r="F107" s="1" t="s">
        <v>27</v>
      </c>
      <c r="G107" s="16" t="s">
        <v>30</v>
      </c>
      <c r="H107" s="4">
        <v>104</v>
      </c>
      <c r="I107" s="4">
        <v>59</v>
      </c>
      <c r="J107" s="4" t="s">
        <v>14</v>
      </c>
      <c r="K107" s="20">
        <f>I107/H107</f>
        <v>0.5673076923076923</v>
      </c>
      <c r="L107" s="5" t="s">
        <v>19</v>
      </c>
      <c r="M107" s="4">
        <v>45</v>
      </c>
      <c r="N107" s="6" t="str">
        <f>HYPERLINK("https://www.bioscidb.com/tag/gettag/21d63614-77c1-46d9-b8e1-f95d4c95c9a4","Tag")</f>
        <v>Tag</v>
      </c>
      <c r="O107" s="4" t="s">
        <v>14</v>
      </c>
      <c r="P107" s="4"/>
      <c r="Q107" s="4" t="s">
        <v>14</v>
      </c>
      <c r="R107" s="4"/>
      <c r="S107" s="4" t="s">
        <v>14</v>
      </c>
      <c r="T107" s="27"/>
      <c r="U107" s="4"/>
      <c r="V107" s="8"/>
      <c r="W107" s="4"/>
      <c r="X107" s="1" t="s">
        <v>14</v>
      </c>
      <c r="Y107" s="1" t="s">
        <v>23</v>
      </c>
      <c r="Z107" s="1" t="s">
        <v>55</v>
      </c>
      <c r="AA107" s="1" t="s">
        <v>22</v>
      </c>
      <c r="AB107" s="1" t="s">
        <v>14</v>
      </c>
    </row>
    <row r="108" spans="1:28" ht="12.75">
      <c r="A108" s="3" t="s">
        <v>663</v>
      </c>
      <c r="B108" s="1" t="s">
        <v>888</v>
      </c>
      <c r="C108" s="1" t="s">
        <v>889</v>
      </c>
      <c r="D108" s="1" t="s">
        <v>131</v>
      </c>
      <c r="E108" s="6" t="str">
        <f>HYPERLINK("https://www.bioscidb.com/browse/deal_bg/15485","Link")</f>
        <v>Link</v>
      </c>
      <c r="F108" s="1" t="s">
        <v>27</v>
      </c>
      <c r="G108" s="16" t="s">
        <v>30</v>
      </c>
      <c r="H108" s="4">
        <v>101.8</v>
      </c>
      <c r="I108" s="4">
        <v>70.4</v>
      </c>
      <c r="J108" s="4" t="s">
        <v>14</v>
      </c>
      <c r="K108" s="20">
        <f>I108/H108</f>
        <v>0.6915520628683695</v>
      </c>
      <c r="L108" s="5" t="s">
        <v>19</v>
      </c>
      <c r="M108" s="4" t="s">
        <v>14</v>
      </c>
      <c r="N108" s="4"/>
      <c r="O108" s="4" t="s">
        <v>14</v>
      </c>
      <c r="P108" s="4"/>
      <c r="Q108" s="4">
        <v>27.4</v>
      </c>
      <c r="R108" s="6" t="str">
        <f>HYPERLINK("https://www.bioscidb.com/tag/gettag/8a11a4b4-62fc-4adc-943b-ba1e7fe00736","Tag")</f>
        <v>Tag</v>
      </c>
      <c r="S108" s="4" t="s">
        <v>14</v>
      </c>
      <c r="T108" s="27"/>
      <c r="U108" s="4"/>
      <c r="V108" s="8"/>
      <c r="W108" s="4"/>
      <c r="X108" s="1" t="s">
        <v>14</v>
      </c>
      <c r="Y108" s="1" t="s">
        <v>14</v>
      </c>
      <c r="Z108" s="1" t="s">
        <v>61</v>
      </c>
      <c r="AA108" s="1" t="s">
        <v>131</v>
      </c>
      <c r="AB108" s="1" t="s">
        <v>890</v>
      </c>
    </row>
    <row r="109" spans="1:28" ht="12.75">
      <c r="A109" s="3" t="s">
        <v>722</v>
      </c>
      <c r="B109" s="1" t="s">
        <v>732</v>
      </c>
      <c r="C109" s="1" t="s">
        <v>733</v>
      </c>
      <c r="D109" s="1" t="s">
        <v>43</v>
      </c>
      <c r="E109" s="6" t="str">
        <f>HYPERLINK("https://www.bioscidb.com/browse/deal_bg/13833","Link")</f>
        <v>Link</v>
      </c>
      <c r="F109" s="1" t="s">
        <v>27</v>
      </c>
      <c r="G109" s="16" t="s">
        <v>734</v>
      </c>
      <c r="H109" s="4">
        <v>100</v>
      </c>
      <c r="I109" s="4" t="s">
        <v>14</v>
      </c>
      <c r="J109" s="4">
        <v>100</v>
      </c>
      <c r="K109" s="20"/>
      <c r="L109" s="5" t="s">
        <v>19</v>
      </c>
      <c r="M109" s="4" t="s">
        <v>14</v>
      </c>
      <c r="N109" s="4"/>
      <c r="O109" s="4" t="s">
        <v>14</v>
      </c>
      <c r="P109" s="6" t="str">
        <f>HYPERLINK("https://www.bioscidb.com/tag/gettag/2400c47e-f923-42f4-9e38-2b27e066ad56","Tag")</f>
        <v>Tag</v>
      </c>
      <c r="Q109" s="4" t="s">
        <v>14</v>
      </c>
      <c r="R109" s="4"/>
      <c r="S109" s="4" t="s">
        <v>14</v>
      </c>
      <c r="T109" s="26" t="s">
        <v>1002</v>
      </c>
      <c r="U109" s="6" t="str">
        <f>HYPERLINK("https://www.bioscidb.com/tag/gettag/9d834b63-8e7e-4bf3-9fea-fd096414d725","Tag")</f>
        <v>Tag</v>
      </c>
      <c r="V109" s="8">
        <v>1</v>
      </c>
      <c r="W109" s="6" t="str">
        <f>HYPERLINK("https://www.bioscidb.com/tag/gettag/89171764-13ab-4c2a-acc6-83579fbe53fd","Tag")</f>
        <v>Tag</v>
      </c>
      <c r="X109" s="1" t="s">
        <v>14</v>
      </c>
      <c r="Y109" s="1" t="s">
        <v>14</v>
      </c>
      <c r="Z109" s="1" t="s">
        <v>736</v>
      </c>
      <c r="AA109" s="1" t="s">
        <v>437</v>
      </c>
      <c r="AB109" s="1" t="s">
        <v>735</v>
      </c>
    </row>
    <row r="110" spans="1:28" ht="25.5">
      <c r="A110" s="3" t="s">
        <v>115</v>
      </c>
      <c r="B110" s="1" t="s">
        <v>438</v>
      </c>
      <c r="C110" s="1" t="s">
        <v>439</v>
      </c>
      <c r="D110" s="1" t="s">
        <v>50</v>
      </c>
      <c r="E110" s="6" t="str">
        <f>HYPERLINK("https://www.bioscidb.com/browse/deal_bg/1549","Link")</f>
        <v>Link</v>
      </c>
      <c r="F110" s="1" t="s">
        <v>27</v>
      </c>
      <c r="G110" s="16" t="s">
        <v>440</v>
      </c>
      <c r="H110" s="4">
        <v>100</v>
      </c>
      <c r="I110" s="4">
        <v>35</v>
      </c>
      <c r="J110" s="4">
        <v>15</v>
      </c>
      <c r="K110" s="20">
        <f>(I110+J110)/H110</f>
        <v>0.5</v>
      </c>
      <c r="L110" s="5" t="s">
        <v>19</v>
      </c>
      <c r="M110" s="4">
        <v>50</v>
      </c>
      <c r="N110" s="4"/>
      <c r="O110" s="4" t="s">
        <v>14</v>
      </c>
      <c r="P110" s="6" t="str">
        <f>HYPERLINK("https://www.bioscidb.com/tag/gettag/01edb259-273e-4151-b3b5-5cbc2f93453e","Tag")</f>
        <v>Tag</v>
      </c>
      <c r="Q110" s="4" t="s">
        <v>14</v>
      </c>
      <c r="R110" s="4"/>
      <c r="S110" s="4">
        <v>10</v>
      </c>
      <c r="T110" s="27"/>
      <c r="U110" s="4"/>
      <c r="V110" s="8">
        <v>12</v>
      </c>
      <c r="W110" s="6" t="str">
        <f>HYPERLINK("https://www.bioscidb.com/tag/gettag/895fc3d9-6ab3-4717-93df-39bb4e47478d","Tag")</f>
        <v>Tag</v>
      </c>
      <c r="X110" s="1" t="s">
        <v>14</v>
      </c>
      <c r="Y110" s="1" t="s">
        <v>211</v>
      </c>
      <c r="Z110" s="1" t="s">
        <v>441</v>
      </c>
      <c r="AA110" s="1" t="s">
        <v>437</v>
      </c>
      <c r="AB110" s="1" t="s">
        <v>14</v>
      </c>
    </row>
    <row r="111" spans="1:28" ht="12.75">
      <c r="A111" s="3" t="s">
        <v>319</v>
      </c>
      <c r="B111" s="1" t="s">
        <v>320</v>
      </c>
      <c r="C111" s="1" t="s">
        <v>321</v>
      </c>
      <c r="D111" s="1" t="s">
        <v>56</v>
      </c>
      <c r="E111" s="6" t="str">
        <f>HYPERLINK("https://www.bioscidb.com/browse/deal_bg/13310","Link")</f>
        <v>Link</v>
      </c>
      <c r="F111" s="1" t="s">
        <v>27</v>
      </c>
      <c r="G111" s="16" t="s">
        <v>100</v>
      </c>
      <c r="H111" s="4">
        <v>100</v>
      </c>
      <c r="I111" s="4">
        <v>57</v>
      </c>
      <c r="J111" s="4" t="s">
        <v>14</v>
      </c>
      <c r="K111" s="20">
        <f>I111/H111</f>
        <v>0.57</v>
      </c>
      <c r="L111" s="5" t="s">
        <v>19</v>
      </c>
      <c r="M111" s="4" t="s">
        <v>14</v>
      </c>
      <c r="N111" s="4"/>
      <c r="O111" s="4" t="s">
        <v>14</v>
      </c>
      <c r="P111" s="4"/>
      <c r="Q111" s="4">
        <v>43</v>
      </c>
      <c r="R111" s="6" t="str">
        <f>HYPERLINK("https://www.bioscidb.com/tag/gettag/0c0cbc6a-077b-486e-8994-243fbfaaaa2a","Tag")</f>
        <v>Tag</v>
      </c>
      <c r="S111" s="4" t="s">
        <v>14</v>
      </c>
      <c r="T111" s="27"/>
      <c r="U111" s="4"/>
      <c r="V111" s="8">
        <v>1.8</v>
      </c>
      <c r="W111" s="6" t="str">
        <f>HYPERLINK("https://www.bioscidb.com/tag/gettag/06cb2561-f2ef-41cf-9ec7-6faa0e9b7482","Tag")</f>
        <v>Tag</v>
      </c>
      <c r="X111" s="1" t="s">
        <v>14</v>
      </c>
      <c r="Y111" s="1" t="s">
        <v>14</v>
      </c>
      <c r="Z111" s="1" t="s">
        <v>322</v>
      </c>
      <c r="AA111" s="1" t="s">
        <v>22</v>
      </c>
      <c r="AB111" s="1" t="s">
        <v>14</v>
      </c>
    </row>
    <row r="112" spans="1:28" ht="12.75">
      <c r="A112" s="3"/>
      <c r="B112" s="1"/>
      <c r="C112" s="1"/>
      <c r="D112" s="1"/>
      <c r="E112" s="6"/>
      <c r="F112" s="1"/>
      <c r="G112" s="16"/>
      <c r="H112" s="4"/>
      <c r="I112" s="4"/>
      <c r="J112" s="4"/>
      <c r="K112" s="20"/>
      <c r="L112" s="5"/>
      <c r="M112" s="4"/>
      <c r="N112" s="4"/>
      <c r="O112" s="4"/>
      <c r="P112" s="4"/>
      <c r="Q112" s="4"/>
      <c r="R112" s="6"/>
      <c r="S112" s="4"/>
      <c r="T112" s="27"/>
      <c r="U112" s="4"/>
      <c r="V112" s="8"/>
      <c r="W112" s="6"/>
      <c r="X112" s="1"/>
      <c r="Y112" s="1"/>
      <c r="Z112" s="1"/>
      <c r="AA112" s="1"/>
      <c r="AB112" s="1"/>
    </row>
    <row r="113" spans="1:28" ht="12.75">
      <c r="A113" s="3"/>
      <c r="B113" s="1"/>
      <c r="C113" s="1"/>
      <c r="D113" s="1"/>
      <c r="E113" s="6"/>
      <c r="F113" s="1"/>
      <c r="G113" s="16"/>
      <c r="H113" s="4"/>
      <c r="I113" s="4"/>
      <c r="J113" s="4"/>
      <c r="K113" s="20"/>
      <c r="L113" s="5"/>
      <c r="M113" s="4"/>
      <c r="N113" s="4"/>
      <c r="O113" s="4"/>
      <c r="P113" s="4"/>
      <c r="Q113" s="4"/>
      <c r="R113" s="6"/>
      <c r="S113" s="4"/>
      <c r="T113" s="27"/>
      <c r="U113" s="25" t="s">
        <v>1007</v>
      </c>
      <c r="V113" s="8">
        <f>AVERAGE(V50:V111)</f>
        <v>7.202777777777778</v>
      </c>
      <c r="W113" s="6"/>
      <c r="X113" s="1"/>
      <c r="Y113" s="1"/>
      <c r="Z113" s="1"/>
      <c r="AA113" s="1"/>
      <c r="AB113" s="1"/>
    </row>
    <row r="114" spans="1:28" ht="12.75">
      <c r="A114" s="3"/>
      <c r="B114" s="1"/>
      <c r="C114" s="1"/>
      <c r="D114" s="1"/>
      <c r="E114" s="6"/>
      <c r="F114" s="1"/>
      <c r="G114" s="16"/>
      <c r="H114" s="4"/>
      <c r="I114" s="4"/>
      <c r="J114" s="4"/>
      <c r="K114" s="20"/>
      <c r="L114" s="5"/>
      <c r="M114" s="4"/>
      <c r="N114" s="4"/>
      <c r="O114" s="4"/>
      <c r="P114" s="4"/>
      <c r="Q114" s="4"/>
      <c r="R114" s="6"/>
      <c r="S114" s="4"/>
      <c r="T114" s="27"/>
      <c r="U114" s="25" t="s">
        <v>1008</v>
      </c>
      <c r="V114" s="8">
        <f>MEDIAN(V50:V111)</f>
        <v>5</v>
      </c>
      <c r="W114" s="6"/>
      <c r="X114" s="1"/>
      <c r="Y114" s="1"/>
      <c r="Z114" s="1"/>
      <c r="AA114" s="1"/>
      <c r="AB114" s="1"/>
    </row>
    <row r="115" spans="1:28" ht="12.75">
      <c r="A115" s="3"/>
      <c r="B115" s="1"/>
      <c r="C115" s="1"/>
      <c r="D115" s="1"/>
      <c r="E115" s="6"/>
      <c r="F115" s="1"/>
      <c r="G115" s="16"/>
      <c r="H115" s="4"/>
      <c r="I115" s="4"/>
      <c r="J115" s="4"/>
      <c r="K115" s="20"/>
      <c r="L115" s="5"/>
      <c r="M115" s="4"/>
      <c r="N115" s="4"/>
      <c r="O115" s="4"/>
      <c r="P115" s="4"/>
      <c r="Q115" s="4"/>
      <c r="R115" s="6"/>
      <c r="S115" s="4"/>
      <c r="T115" s="27"/>
      <c r="U115" s="25"/>
      <c r="V115" s="8"/>
      <c r="W115" s="6"/>
      <c r="X115" s="1"/>
      <c r="Y115" s="1"/>
      <c r="Z115" s="1"/>
      <c r="AA115" s="1"/>
      <c r="AB115" s="1"/>
    </row>
    <row r="116" spans="1:28" ht="25.5">
      <c r="A116" s="3" t="s">
        <v>869</v>
      </c>
      <c r="B116" s="1" t="s">
        <v>877</v>
      </c>
      <c r="C116" s="1" t="s">
        <v>878</v>
      </c>
      <c r="D116" s="1" t="s">
        <v>90</v>
      </c>
      <c r="E116" s="6" t="str">
        <f>HYPERLINK("https://www.bioscidb.com/browse/deal_bg/14879","Link")</f>
        <v>Link</v>
      </c>
      <c r="F116" s="1" t="s">
        <v>27</v>
      </c>
      <c r="G116" s="16" t="s">
        <v>879</v>
      </c>
      <c r="H116" s="4">
        <v>93</v>
      </c>
      <c r="I116" s="4" t="s">
        <v>14</v>
      </c>
      <c r="J116" s="4">
        <v>5</v>
      </c>
      <c r="K116" s="20">
        <f>J116/H116</f>
        <v>0.053763440860215055</v>
      </c>
      <c r="L116" s="5" t="s">
        <v>19</v>
      </c>
      <c r="M116" s="4">
        <v>8</v>
      </c>
      <c r="N116" s="6" t="str">
        <f>HYPERLINK("https://www.bioscidb.com/tag/gettag/58c58519-a3d3-4e28-bf73-52bd52088a34","Tag")</f>
        <v>Tag</v>
      </c>
      <c r="O116" s="4" t="s">
        <v>14</v>
      </c>
      <c r="P116" s="4"/>
      <c r="Q116" s="4">
        <v>80</v>
      </c>
      <c r="R116" s="6" t="str">
        <f>HYPERLINK("https://www.bioscidb.com/tag/gettag/2595225b-fa1d-486e-9cc7-8a12c40bbd52","Tag")</f>
        <v>Tag</v>
      </c>
      <c r="S116" s="4" t="s">
        <v>14</v>
      </c>
      <c r="T116" s="26" t="s">
        <v>1002</v>
      </c>
      <c r="U116" s="6" t="str">
        <f>HYPERLINK("https://www.bioscidb.com/tag/gettag/c1859aaa-02d9-4631-a09b-b5bde6fff263","Tag")</f>
        <v>Tag</v>
      </c>
      <c r="V116" s="8"/>
      <c r="W116" s="4"/>
      <c r="X116" s="1" t="s">
        <v>14</v>
      </c>
      <c r="Y116" s="1" t="s">
        <v>14</v>
      </c>
      <c r="Z116" s="1" t="s">
        <v>569</v>
      </c>
      <c r="AA116" s="1" t="s">
        <v>405</v>
      </c>
      <c r="AB116" s="1" t="s">
        <v>880</v>
      </c>
    </row>
    <row r="117" spans="1:28" ht="12.75">
      <c r="A117" s="3" t="s">
        <v>959</v>
      </c>
      <c r="B117" s="1" t="s">
        <v>960</v>
      </c>
      <c r="C117" s="1" t="s">
        <v>247</v>
      </c>
      <c r="D117" s="17" t="s">
        <v>90</v>
      </c>
      <c r="E117" s="6" t="str">
        <f>HYPERLINK("https://www.bioscidb.com/browse/deal_bg/4662","Link")</f>
        <v>Link</v>
      </c>
      <c r="F117" s="1" t="s">
        <v>15</v>
      </c>
      <c r="G117" s="16" t="s">
        <v>30</v>
      </c>
      <c r="H117" s="4">
        <v>83</v>
      </c>
      <c r="I117" s="4">
        <v>15</v>
      </c>
      <c r="J117" s="4" t="s">
        <v>14</v>
      </c>
      <c r="K117" s="20">
        <f>I117/H117</f>
        <v>0.18072289156626506</v>
      </c>
      <c r="L117" s="5" t="s">
        <v>19</v>
      </c>
      <c r="M117" s="4">
        <v>57</v>
      </c>
      <c r="N117" s="6" t="str">
        <f>HYPERLINK("https://www.bioscidb.com/tag/gettag/ba6d519b-4a3b-4416-a6e9-2b5ad7342ae9","Tag")</f>
        <v>Tag</v>
      </c>
      <c r="O117" s="4">
        <v>11</v>
      </c>
      <c r="P117" s="6" t="str">
        <f>HYPERLINK("https://www.bioscidb.com/tag/gettag/daeab863-6eb5-43ab-a1d0-05149b8837f7","Tag")</f>
        <v>Tag</v>
      </c>
      <c r="Q117" s="4" t="s">
        <v>14</v>
      </c>
      <c r="R117" s="4"/>
      <c r="S117" s="4" t="s">
        <v>14</v>
      </c>
      <c r="T117" s="26" t="s">
        <v>1001</v>
      </c>
      <c r="U117" s="6" t="str">
        <f>HYPERLINK("https://www.bioscidb.com/tag/gettag/5f3530ea-fd10-4be6-b449-ee15404d88aa","Tag")</f>
        <v>Tag</v>
      </c>
      <c r="V117" s="8">
        <v>10</v>
      </c>
      <c r="W117" s="6" t="str">
        <f>HYPERLINK("https://www.bioscidb.com/tag/gettag/ceeff94b-abbb-413a-852c-8691021fd64c","Tag")</f>
        <v>Tag</v>
      </c>
      <c r="X117" s="1" t="s">
        <v>14</v>
      </c>
      <c r="Y117" s="1" t="s">
        <v>23</v>
      </c>
      <c r="Z117" s="1" t="s">
        <v>55</v>
      </c>
      <c r="AA117" s="1" t="s">
        <v>22</v>
      </c>
      <c r="AB117" s="1" t="s">
        <v>961</v>
      </c>
    </row>
    <row r="118" spans="1:28" ht="12.75">
      <c r="A118" s="3" t="s">
        <v>934</v>
      </c>
      <c r="B118" s="1" t="s">
        <v>935</v>
      </c>
      <c r="C118" s="1" t="s">
        <v>936</v>
      </c>
      <c r="D118" s="17" t="s">
        <v>56</v>
      </c>
      <c r="E118" s="6" t="str">
        <f>HYPERLINK("https://www.bioscidb.com/browse/deal_bg/9408","Link")</f>
        <v>Link</v>
      </c>
      <c r="F118" s="1" t="s">
        <v>15</v>
      </c>
      <c r="G118" s="16" t="s">
        <v>100</v>
      </c>
      <c r="H118" s="4">
        <v>77.8</v>
      </c>
      <c r="I118" s="4">
        <v>13.8</v>
      </c>
      <c r="J118" s="4">
        <v>7.5</v>
      </c>
      <c r="K118" s="20">
        <f>(I118+J118)/H118</f>
        <v>0.27377892030848333</v>
      </c>
      <c r="L118" s="5" t="s">
        <v>19</v>
      </c>
      <c r="M118" s="4">
        <v>30</v>
      </c>
      <c r="N118" s="6" t="str">
        <f>HYPERLINK("https://www.bioscidb.com/tag/gettag/cb283e29-45d1-4993-a5a3-4344c30fb2a2","Tag")</f>
        <v>Tag</v>
      </c>
      <c r="O118" s="4" t="s">
        <v>14</v>
      </c>
      <c r="P118" s="4"/>
      <c r="Q118" s="4">
        <v>26.5</v>
      </c>
      <c r="R118" s="6" t="str">
        <f>HYPERLINK("https://www.bioscidb.com/tag/gettag/6558cd31-67d7-4128-b04b-378c70b09c80","Tag")</f>
        <v>Tag</v>
      </c>
      <c r="S118" s="4" t="s">
        <v>14</v>
      </c>
      <c r="T118" s="27"/>
      <c r="U118" s="4"/>
      <c r="V118" s="8"/>
      <c r="W118" s="4"/>
      <c r="X118" s="1" t="s">
        <v>14</v>
      </c>
      <c r="Y118" s="1" t="s">
        <v>14</v>
      </c>
      <c r="Z118" s="1" t="s">
        <v>938</v>
      </c>
      <c r="AA118" s="1" t="s">
        <v>14</v>
      </c>
      <c r="AB118" s="1" t="s">
        <v>937</v>
      </c>
    </row>
    <row r="119" spans="1:28" ht="12.75">
      <c r="A119" s="3" t="s">
        <v>13</v>
      </c>
      <c r="B119" s="1" t="s">
        <v>200</v>
      </c>
      <c r="C119" s="1" t="s">
        <v>201</v>
      </c>
      <c r="D119" s="17" t="s">
        <v>43</v>
      </c>
      <c r="E119" s="6" t="str">
        <f>HYPERLINK("https://www.bioscidb.com/browse/deal_bg/14739","Link")</f>
        <v>Link</v>
      </c>
      <c r="F119" s="1" t="s">
        <v>15</v>
      </c>
      <c r="G119" s="16" t="s">
        <v>202</v>
      </c>
      <c r="H119" s="4">
        <v>75</v>
      </c>
      <c r="I119" s="4">
        <v>37.5</v>
      </c>
      <c r="J119" s="4" t="s">
        <v>14</v>
      </c>
      <c r="K119" s="20">
        <f>I119/H119</f>
        <v>0.5</v>
      </c>
      <c r="L119" s="5" t="s">
        <v>19</v>
      </c>
      <c r="M119" s="4">
        <v>37.5</v>
      </c>
      <c r="N119" s="6" t="str">
        <f>HYPERLINK("https://www.bioscidb.com/tag/gettag/80bda128-d5b4-4625-a97c-d90fcd3fadd9","Tag")</f>
        <v>Tag</v>
      </c>
      <c r="O119" s="4" t="s">
        <v>14</v>
      </c>
      <c r="P119" s="4"/>
      <c r="Q119" s="4" t="s">
        <v>14</v>
      </c>
      <c r="R119" s="4"/>
      <c r="S119" s="4" t="s">
        <v>14</v>
      </c>
      <c r="T119" s="26" t="s">
        <v>1002</v>
      </c>
      <c r="U119" s="6" t="str">
        <f>HYPERLINK("https://www.bioscidb.com/tag/gettag/dcb89ffb-76b8-4670-bf79-a5b0700cd052","Tag")</f>
        <v>Tag</v>
      </c>
      <c r="V119" s="8"/>
      <c r="W119" s="4"/>
      <c r="X119" s="1" t="s">
        <v>14</v>
      </c>
      <c r="Y119" s="1" t="s">
        <v>14</v>
      </c>
      <c r="Z119" s="1" t="s">
        <v>203</v>
      </c>
      <c r="AA119" s="1" t="s">
        <v>14</v>
      </c>
      <c r="AB119" s="1" t="s">
        <v>14</v>
      </c>
    </row>
    <row r="120" spans="1:28" ht="12.75">
      <c r="A120" s="3" t="s">
        <v>909</v>
      </c>
      <c r="B120" s="1" t="s">
        <v>910</v>
      </c>
      <c r="C120" s="1" t="s">
        <v>911</v>
      </c>
      <c r="D120" s="17" t="s">
        <v>159</v>
      </c>
      <c r="E120" s="6" t="str">
        <f>HYPERLINK("https://www.bioscidb.com/browse/deal_bg/1202","Link")</f>
        <v>Link</v>
      </c>
      <c r="F120" s="1" t="s">
        <v>15</v>
      </c>
      <c r="G120" s="16" t="s">
        <v>912</v>
      </c>
      <c r="H120" s="4">
        <v>71</v>
      </c>
      <c r="I120" s="4">
        <v>10</v>
      </c>
      <c r="J120" s="4" t="s">
        <v>14</v>
      </c>
      <c r="K120" s="20">
        <f>I120/H120</f>
        <v>0.14084507042253522</v>
      </c>
      <c r="L120" s="5" t="s">
        <v>19</v>
      </c>
      <c r="M120" s="4">
        <v>45</v>
      </c>
      <c r="N120" s="6" t="str">
        <f>HYPERLINK("https://www.bioscidb.com/tag/gettag/f72f74c8-19b2-47be-8cc1-818b071722fc","Tag")</f>
        <v>Tag</v>
      </c>
      <c r="O120" s="4" t="s">
        <v>14</v>
      </c>
      <c r="P120" s="4"/>
      <c r="Q120" s="4" t="s">
        <v>14</v>
      </c>
      <c r="R120" s="4"/>
      <c r="S120" s="4">
        <v>9</v>
      </c>
      <c r="T120" s="26" t="s">
        <v>1002</v>
      </c>
      <c r="U120" s="6" t="str">
        <f>HYPERLINK("https://www.bioscidb.com/tag/gettag/514b7d3f-1dab-4cf8-ad5e-062f99496e22","Tag")</f>
        <v>Tag</v>
      </c>
      <c r="V120" s="8"/>
      <c r="W120" s="4"/>
      <c r="X120" s="1" t="s">
        <v>14</v>
      </c>
      <c r="Y120" s="1" t="s">
        <v>66</v>
      </c>
      <c r="Z120" s="1" t="s">
        <v>139</v>
      </c>
      <c r="AA120" s="1" t="s">
        <v>89</v>
      </c>
      <c r="AB120" s="1" t="s">
        <v>913</v>
      </c>
    </row>
    <row r="121" spans="1:28" ht="12.75">
      <c r="A121" s="3" t="s">
        <v>39</v>
      </c>
      <c r="B121" s="1" t="s">
        <v>40</v>
      </c>
      <c r="C121" s="1" t="s">
        <v>29</v>
      </c>
      <c r="D121" s="1" t="s">
        <v>90</v>
      </c>
      <c r="E121" s="6" t="str">
        <f>HYPERLINK("https://www.bioscidb.com/browse/deal_bg/295","Link")</f>
        <v>Link</v>
      </c>
      <c r="F121" s="1" t="s">
        <v>27</v>
      </c>
      <c r="G121" s="16" t="s">
        <v>38</v>
      </c>
      <c r="H121" s="4">
        <v>70</v>
      </c>
      <c r="I121" s="4" t="s">
        <v>14</v>
      </c>
      <c r="J121" s="4">
        <v>55</v>
      </c>
      <c r="K121" s="20">
        <f>J121/H121</f>
        <v>0.7857142857142857</v>
      </c>
      <c r="L121" s="5" t="s">
        <v>19</v>
      </c>
      <c r="M121" s="4" t="s">
        <v>14</v>
      </c>
      <c r="N121" s="4"/>
      <c r="O121" s="4">
        <v>15</v>
      </c>
      <c r="P121" s="6" t="str">
        <f>HYPERLINK("https://www.bioscidb.com/tag/gettag/69887eb2-097f-4b56-9f4a-c037d621fa70","Tag")</f>
        <v>Tag</v>
      </c>
      <c r="Q121" s="4" t="s">
        <v>14</v>
      </c>
      <c r="R121" s="4"/>
      <c r="S121" s="4" t="s">
        <v>14</v>
      </c>
      <c r="T121" s="27"/>
      <c r="U121" s="4"/>
      <c r="V121" s="9">
        <v>3.2</v>
      </c>
      <c r="W121" s="6" t="str">
        <f>HYPERLINK("https://www.bioscidb.com/tag/gettag/24f0ca0c-34cb-4b15-b4d1-b410c622a0ee","Tag")</f>
        <v>Tag</v>
      </c>
      <c r="X121" s="1" t="s">
        <v>14</v>
      </c>
      <c r="Y121" s="1" t="s">
        <v>14</v>
      </c>
      <c r="Z121" s="1" t="s">
        <v>14</v>
      </c>
      <c r="AA121" s="1" t="s">
        <v>14</v>
      </c>
      <c r="AB121" s="1" t="s">
        <v>41</v>
      </c>
    </row>
    <row r="122" spans="1:28" ht="25.5">
      <c r="A122" s="3" t="s">
        <v>749</v>
      </c>
      <c r="B122" s="1" t="s">
        <v>750</v>
      </c>
      <c r="C122" s="1" t="s">
        <v>268</v>
      </c>
      <c r="D122" s="1" t="s">
        <v>90</v>
      </c>
      <c r="E122" s="6" t="str">
        <f>HYPERLINK("https://www.bioscidb.com/browse/deal_bg/14294","Link")</f>
        <v>Link</v>
      </c>
      <c r="F122" s="1" t="s">
        <v>15</v>
      </c>
      <c r="G122" s="16" t="s">
        <v>751</v>
      </c>
      <c r="H122" s="4">
        <v>70</v>
      </c>
      <c r="I122" s="4">
        <v>20.3</v>
      </c>
      <c r="J122" s="4" t="s">
        <v>14</v>
      </c>
      <c r="K122" s="20">
        <f>I122/H122</f>
        <v>0.29000000000000004</v>
      </c>
      <c r="L122" s="5" t="s">
        <v>19</v>
      </c>
      <c r="M122" s="4">
        <v>14.7</v>
      </c>
      <c r="N122" s="6" t="str">
        <f>HYPERLINK("https://www.bioscidb.com/tag/gettag/7ba54e99-fd78-44ce-a33f-7e3e14be5389","Tag")</f>
        <v>Tag</v>
      </c>
      <c r="O122" s="4" t="s">
        <v>14</v>
      </c>
      <c r="P122" s="4"/>
      <c r="Q122" s="4">
        <v>35</v>
      </c>
      <c r="R122" s="6" t="str">
        <f>HYPERLINK("https://www.bioscidb.com/tag/gettag/7da0fc12-da3f-4c38-9f9c-6e46f8625483","Tag")</f>
        <v>Tag</v>
      </c>
      <c r="S122" s="4">
        <v>2.5</v>
      </c>
      <c r="T122" s="27"/>
      <c r="U122" s="4"/>
      <c r="V122" s="8"/>
      <c r="W122" s="4"/>
      <c r="X122" s="1" t="s">
        <v>14</v>
      </c>
      <c r="Y122" s="1" t="s">
        <v>14</v>
      </c>
      <c r="Z122" s="1" t="s">
        <v>123</v>
      </c>
      <c r="AA122" s="1" t="s">
        <v>22</v>
      </c>
      <c r="AB122" s="1" t="s">
        <v>752</v>
      </c>
    </row>
    <row r="123" spans="1:28" ht="12.75">
      <c r="A123" s="3" t="s">
        <v>34</v>
      </c>
      <c r="B123" s="1" t="s">
        <v>928</v>
      </c>
      <c r="C123" s="1" t="s">
        <v>247</v>
      </c>
      <c r="D123" s="1" t="s">
        <v>159</v>
      </c>
      <c r="E123" s="6" t="str">
        <f>HYPERLINK("https://www.bioscidb.com/browse/deal_bg/4661","Link")</f>
        <v>Link</v>
      </c>
      <c r="F123" s="1" t="s">
        <v>15</v>
      </c>
      <c r="G123" s="16" t="s">
        <v>30</v>
      </c>
      <c r="H123" s="4">
        <v>56.85</v>
      </c>
      <c r="I123" s="4">
        <v>15</v>
      </c>
      <c r="J123" s="4" t="s">
        <v>14</v>
      </c>
      <c r="K123" s="20">
        <f>I123/H123</f>
        <v>0.2638522427440633</v>
      </c>
      <c r="L123" s="5" t="s">
        <v>19</v>
      </c>
      <c r="M123" s="4">
        <v>25.35</v>
      </c>
      <c r="N123" s="6" t="str">
        <f>HYPERLINK("https://www.bioscidb.com/tag/gettag/7a386b98-cfbb-4139-b252-f5b5730dad49","Tag")</f>
        <v>Tag</v>
      </c>
      <c r="O123" s="4" t="s">
        <v>14</v>
      </c>
      <c r="P123" s="4"/>
      <c r="Q123" s="4">
        <v>16.5</v>
      </c>
      <c r="R123" s="6" t="str">
        <f>HYPERLINK("https://www.bioscidb.com/tag/gettag/66ba81f1-0ec8-4041-a4fc-bc73a3184dec","Tag")</f>
        <v>Tag</v>
      </c>
      <c r="S123" s="4" t="s">
        <v>14</v>
      </c>
      <c r="T123" s="26" t="s">
        <v>1002</v>
      </c>
      <c r="U123" s="6" t="str">
        <f>HYPERLINK("https://www.bioscidb.com/tag/gettag/1b5c934a-2f10-4eed-ab70-18afc03f1ad2","Tag")</f>
        <v>Tag</v>
      </c>
      <c r="V123" s="8">
        <v>6.5</v>
      </c>
      <c r="W123" s="6" t="str">
        <f>HYPERLINK("https://www.bioscidb.com/tag/gettag/13a5b74e-96e3-402e-b957-fc3cd8155c7d","Tag")</f>
        <v>Tag</v>
      </c>
      <c r="X123" s="1" t="s">
        <v>14</v>
      </c>
      <c r="Y123" s="1" t="s">
        <v>23</v>
      </c>
      <c r="Z123" s="1" t="s">
        <v>203</v>
      </c>
      <c r="AA123" s="1" t="s">
        <v>22</v>
      </c>
      <c r="AB123" s="1" t="s">
        <v>929</v>
      </c>
    </row>
    <row r="124" spans="1:28" ht="12.75">
      <c r="A124" s="3" t="s">
        <v>865</v>
      </c>
      <c r="B124" s="1" t="s">
        <v>874</v>
      </c>
      <c r="C124" s="1" t="s">
        <v>875</v>
      </c>
      <c r="D124" s="1" t="s">
        <v>25</v>
      </c>
      <c r="E124" s="6" t="str">
        <f>HYPERLINK("https://www.bioscidb.com/browse/deal_bg/14887","Link")</f>
        <v>Link</v>
      </c>
      <c r="F124" s="1" t="s">
        <v>27</v>
      </c>
      <c r="G124" s="16" t="s">
        <v>30</v>
      </c>
      <c r="H124" s="4">
        <v>56.25</v>
      </c>
      <c r="I124" s="4">
        <v>2.5</v>
      </c>
      <c r="J124" s="4" t="s">
        <v>14</v>
      </c>
      <c r="K124" s="20">
        <f>I124/H124</f>
        <v>0.044444444444444446</v>
      </c>
      <c r="L124" s="5" t="s">
        <v>19</v>
      </c>
      <c r="M124" s="4">
        <v>17.5</v>
      </c>
      <c r="N124" s="6" t="str">
        <f>HYPERLINK("https://www.bioscidb.com/tag/gettag/e039b1a3-46ab-4784-95e8-69eee380407c","Tag")</f>
        <v>Tag</v>
      </c>
      <c r="O124" s="4">
        <v>8.75</v>
      </c>
      <c r="P124" s="4"/>
      <c r="Q124" s="4">
        <v>27.5</v>
      </c>
      <c r="R124" s="6" t="str">
        <f>HYPERLINK("https://www.bioscidb.com/tag/gettag/2d18d671-b910-4f07-919e-d3bdc829be11","Tag")</f>
        <v>Tag</v>
      </c>
      <c r="S124" s="4">
        <v>5</v>
      </c>
      <c r="T124" s="27"/>
      <c r="U124" s="4"/>
      <c r="V124" s="8">
        <v>10</v>
      </c>
      <c r="W124" s="6" t="str">
        <f>HYPERLINK("https://www.bioscidb.com/tag/gettag/4f79de64-d4c4-4d6c-87a7-be3caf890638","Tag")</f>
        <v>Tag</v>
      </c>
      <c r="X124" s="1" t="s">
        <v>14</v>
      </c>
      <c r="Y124" s="1" t="s">
        <v>14</v>
      </c>
      <c r="Z124" s="1" t="s">
        <v>156</v>
      </c>
      <c r="AA124" s="1" t="s">
        <v>32</v>
      </c>
      <c r="AB124" s="1" t="s">
        <v>876</v>
      </c>
    </row>
    <row r="125" spans="1:28" ht="12.75">
      <c r="A125" s="3" t="s">
        <v>591</v>
      </c>
      <c r="B125" s="1" t="s">
        <v>613</v>
      </c>
      <c r="C125" s="1" t="s">
        <v>614</v>
      </c>
      <c r="D125" s="17" t="s">
        <v>43</v>
      </c>
      <c r="E125" s="6" t="str">
        <f>HYPERLINK("https://www.bioscidb.com/browse/deal_bg/10677","Link")</f>
        <v>Link</v>
      </c>
      <c r="F125" s="1" t="s">
        <v>27</v>
      </c>
      <c r="G125" s="16" t="s">
        <v>615</v>
      </c>
      <c r="H125" s="4">
        <v>48.5</v>
      </c>
      <c r="I125" s="4" t="s">
        <v>14</v>
      </c>
      <c r="J125" s="4" t="s">
        <v>14</v>
      </c>
      <c r="K125" s="20"/>
      <c r="L125" s="5" t="s">
        <v>19</v>
      </c>
      <c r="M125" s="4" t="s">
        <v>14</v>
      </c>
      <c r="N125" s="6" t="str">
        <f>HYPERLINK("https://www.bioscidb.com/tag/gettag/dd7716e3-c9ea-41fe-be57-c70c4493fc65","Tag")</f>
        <v>Tag</v>
      </c>
      <c r="O125" s="4" t="s">
        <v>14</v>
      </c>
      <c r="P125" s="4"/>
      <c r="Q125" s="4">
        <v>30</v>
      </c>
      <c r="R125" s="6" t="str">
        <f>HYPERLINK("https://www.bioscidb.com/tag/gettag/5180cfce-ce74-4c5e-bebf-d6ed627d1fe2","Tag")</f>
        <v>Tag</v>
      </c>
      <c r="S125" s="4" t="s">
        <v>14</v>
      </c>
      <c r="T125" s="26" t="s">
        <v>1002</v>
      </c>
      <c r="U125" s="6" t="str">
        <f>HYPERLINK("https://www.bioscidb.com/tag/gettag/e420075b-5b16-414c-9532-3ac1e1c85a9b","Tag")</f>
        <v>Tag</v>
      </c>
      <c r="V125" s="9">
        <v>14</v>
      </c>
      <c r="W125" s="6" t="str">
        <f>HYPERLINK("https://www.bioscidb.com/tag/gettag/24201a46-e60d-4b7b-a310-3bfe930527d6","Tag")</f>
        <v>Tag</v>
      </c>
      <c r="X125" s="1" t="s">
        <v>14</v>
      </c>
      <c r="Y125" s="1" t="s">
        <v>211</v>
      </c>
      <c r="Z125" s="1" t="s">
        <v>49</v>
      </c>
      <c r="AA125" s="1" t="s">
        <v>14</v>
      </c>
      <c r="AB125" s="1" t="s">
        <v>616</v>
      </c>
    </row>
    <row r="126" spans="1:28" ht="25.5">
      <c r="A126" s="3" t="s">
        <v>384</v>
      </c>
      <c r="B126" s="1" t="s">
        <v>930</v>
      </c>
      <c r="C126" s="1" t="s">
        <v>931</v>
      </c>
      <c r="D126" s="1" t="s">
        <v>131</v>
      </c>
      <c r="E126" s="6" t="str">
        <f>HYPERLINK("https://www.bioscidb.com/browse/deal_bg/2915","Link")</f>
        <v>Link</v>
      </c>
      <c r="F126" s="1" t="s">
        <v>15</v>
      </c>
      <c r="G126" s="16" t="s">
        <v>932</v>
      </c>
      <c r="H126" s="4">
        <v>42.9</v>
      </c>
      <c r="I126" s="4">
        <v>20.5</v>
      </c>
      <c r="J126" s="4">
        <v>4</v>
      </c>
      <c r="K126" s="20">
        <f>(I126+J126)/H126</f>
        <v>0.5710955710955711</v>
      </c>
      <c r="L126" s="5" t="s">
        <v>19</v>
      </c>
      <c r="M126" s="4" t="s">
        <v>14</v>
      </c>
      <c r="N126" s="4"/>
      <c r="O126" s="4">
        <v>7.5</v>
      </c>
      <c r="P126" s="6" t="str">
        <f>HYPERLINK("https://www.bioscidb.com/tag/gettag/0b379c53-f9a5-48b4-934d-062152b79d8f","Tag")</f>
        <v>Tag</v>
      </c>
      <c r="Q126" s="4">
        <v>10.9</v>
      </c>
      <c r="R126" s="6" t="str">
        <f>HYPERLINK("https://www.bioscidb.com/tag/gettag/dff2c468-1649-4af9-8329-c9a7edf68141","Tag")</f>
        <v>Tag</v>
      </c>
      <c r="S126" s="4" t="s">
        <v>14</v>
      </c>
      <c r="T126" s="26" t="s">
        <v>1002</v>
      </c>
      <c r="U126" s="6" t="str">
        <f>HYPERLINK("https://www.bioscidb.com/tag/gettag/bdf8b285-a2d9-4550-b339-5880b5426944","Tag")</f>
        <v>Tag</v>
      </c>
      <c r="V126" s="8">
        <v>2.5</v>
      </c>
      <c r="W126" s="6" t="str">
        <f>HYPERLINK("https://www.bioscidb.com/tag/gettag/7ee81cb3-02f3-4bac-9e40-f2173f2553f1","Tag")</f>
        <v>Tag</v>
      </c>
      <c r="X126" s="1" t="s">
        <v>14</v>
      </c>
      <c r="Y126" s="1" t="s">
        <v>14</v>
      </c>
      <c r="Z126" s="1" t="s">
        <v>346</v>
      </c>
      <c r="AA126" s="1" t="s">
        <v>131</v>
      </c>
      <c r="AB126" s="1" t="s">
        <v>933</v>
      </c>
    </row>
    <row r="127" spans="1:28" ht="12.75">
      <c r="A127" s="3" t="s">
        <v>26</v>
      </c>
      <c r="B127" s="1" t="s">
        <v>28</v>
      </c>
      <c r="C127" s="1" t="s">
        <v>29</v>
      </c>
      <c r="D127" s="1" t="s">
        <v>25</v>
      </c>
      <c r="E127" s="6" t="str">
        <f>HYPERLINK("https://www.bioscidb.com/browse/deal_bg/286","Link")</f>
        <v>Link</v>
      </c>
      <c r="F127" s="1" t="s">
        <v>27</v>
      </c>
      <c r="G127" s="16" t="s">
        <v>30</v>
      </c>
      <c r="H127" s="4">
        <v>41.4</v>
      </c>
      <c r="I127" s="4">
        <v>35.9</v>
      </c>
      <c r="J127" s="4" t="s">
        <v>14</v>
      </c>
      <c r="K127" s="20">
        <f>I127/H127</f>
        <v>0.8671497584541062</v>
      </c>
      <c r="L127" s="5" t="s">
        <v>19</v>
      </c>
      <c r="M127" s="4" t="s">
        <v>14</v>
      </c>
      <c r="N127" s="4"/>
      <c r="O127" s="4">
        <v>5.5</v>
      </c>
      <c r="P127" s="6" t="str">
        <f>HYPERLINK("https://www.bioscidb.com/tag/gettag/6e0255e3-f39e-4d4e-8261-fb1867953e6b","Tag")</f>
        <v>Tag</v>
      </c>
      <c r="Q127" s="4" t="s">
        <v>14</v>
      </c>
      <c r="R127" s="4"/>
      <c r="S127" s="4" t="s">
        <v>14</v>
      </c>
      <c r="T127" s="27"/>
      <c r="U127" s="4"/>
      <c r="V127" s="9">
        <v>6</v>
      </c>
      <c r="W127" s="6" t="str">
        <f>HYPERLINK("https://www.bioscidb.com/tag/gettag/45c3cd7c-be73-465a-a00e-64fc91164962","Tag")</f>
        <v>Tag</v>
      </c>
      <c r="X127" s="1" t="s">
        <v>14</v>
      </c>
      <c r="Y127" s="1" t="s">
        <v>14</v>
      </c>
      <c r="Z127" s="1" t="s">
        <v>14</v>
      </c>
      <c r="AA127" s="1" t="s">
        <v>32</v>
      </c>
      <c r="AB127" s="1" t="s">
        <v>31</v>
      </c>
    </row>
    <row r="128" spans="1:28" ht="12.75">
      <c r="A128" s="3" t="s">
        <v>559</v>
      </c>
      <c r="B128" s="1" t="s">
        <v>563</v>
      </c>
      <c r="C128" s="1" t="s">
        <v>564</v>
      </c>
      <c r="D128" s="1" t="s">
        <v>50</v>
      </c>
      <c r="E128" s="6" t="str">
        <f>HYPERLINK("https://www.bioscidb.com/browse/deal_bg/9605","Link")</f>
        <v>Link</v>
      </c>
      <c r="F128" s="1" t="s">
        <v>27</v>
      </c>
      <c r="G128" s="16" t="s">
        <v>206</v>
      </c>
      <c r="H128" s="4">
        <v>36</v>
      </c>
      <c r="I128" s="4" t="s">
        <v>14</v>
      </c>
      <c r="J128" s="4">
        <v>13.5</v>
      </c>
      <c r="K128" s="20">
        <f>J128/H128</f>
        <v>0.375</v>
      </c>
      <c r="L128" s="5" t="s">
        <v>19</v>
      </c>
      <c r="M128" s="4">
        <v>22.5</v>
      </c>
      <c r="N128" s="6" t="str">
        <f>HYPERLINK("https://www.bioscidb.com/tag/gettag/642c91ea-cad6-4431-bd0b-5c8d02f445d8","Tag")</f>
        <v>Tag</v>
      </c>
      <c r="O128" s="4" t="s">
        <v>14</v>
      </c>
      <c r="P128" s="4"/>
      <c r="Q128" s="4" t="s">
        <v>14</v>
      </c>
      <c r="R128" s="4"/>
      <c r="S128" s="4">
        <v>2</v>
      </c>
      <c r="T128" s="26" t="s">
        <v>1002</v>
      </c>
      <c r="U128" s="6" t="str">
        <f>HYPERLINK("https://www.bioscidb.com/tag/gettag/f54f6a2b-c148-4c53-98f2-ab756386de30","Tag")</f>
        <v>Tag</v>
      </c>
      <c r="V128" s="8"/>
      <c r="W128" s="4"/>
      <c r="X128" s="1" t="s">
        <v>14</v>
      </c>
      <c r="Y128" s="1" t="s">
        <v>14</v>
      </c>
      <c r="Z128" s="1" t="s">
        <v>55</v>
      </c>
      <c r="AA128" s="1" t="s">
        <v>96</v>
      </c>
      <c r="AB128" s="1" t="s">
        <v>565</v>
      </c>
    </row>
    <row r="129" spans="1:28" ht="12.75">
      <c r="A129" s="3" t="s">
        <v>645</v>
      </c>
      <c r="B129" s="1" t="s">
        <v>646</v>
      </c>
      <c r="C129" s="1" t="s">
        <v>29</v>
      </c>
      <c r="D129" s="17" t="s">
        <v>90</v>
      </c>
      <c r="E129" s="6" t="str">
        <f>HYPERLINK("https://www.bioscidb.com/browse/deal_bg/11871","Link")</f>
        <v>Link</v>
      </c>
      <c r="F129" s="1" t="s">
        <v>27</v>
      </c>
      <c r="G129" s="16" t="s">
        <v>30</v>
      </c>
      <c r="H129" s="4">
        <v>35.5</v>
      </c>
      <c r="I129" s="4">
        <v>25</v>
      </c>
      <c r="J129" s="4" t="s">
        <v>14</v>
      </c>
      <c r="K129" s="20">
        <f>I129/H129</f>
        <v>0.704225352112676</v>
      </c>
      <c r="L129" s="5" t="s">
        <v>19</v>
      </c>
      <c r="M129" s="4">
        <v>10.5</v>
      </c>
      <c r="N129" s="6" t="str">
        <f>HYPERLINK("https://www.bioscidb.com/tag/gettag/eddd24ec-9cd4-44cc-a50d-cf0401d0f419","Tag")</f>
        <v>Tag</v>
      </c>
      <c r="O129" s="4" t="s">
        <v>14</v>
      </c>
      <c r="P129" s="6" t="str">
        <f>HYPERLINK("https://www.bioscidb.com/tag/gettag/682ca5c7-9284-4501-a4f0-10b7dbb91cbb","Tag")</f>
        <v>Tag</v>
      </c>
      <c r="Q129" s="4" t="s">
        <v>14</v>
      </c>
      <c r="R129" s="4"/>
      <c r="S129" s="4" t="s">
        <v>14</v>
      </c>
      <c r="T129" s="26" t="s">
        <v>1002</v>
      </c>
      <c r="U129" s="6" t="str">
        <f>HYPERLINK("https://www.bioscidb.com/tag/gettag/1d309cbe-1477-45f1-94bf-ae21ad5dba0c","Tag")</f>
        <v>Tag</v>
      </c>
      <c r="V129" s="8"/>
      <c r="W129" s="4"/>
      <c r="X129" s="1" t="s">
        <v>14</v>
      </c>
      <c r="Y129" s="1" t="s">
        <v>14</v>
      </c>
      <c r="Z129" s="1" t="s">
        <v>14</v>
      </c>
      <c r="AA129" s="1" t="s">
        <v>84</v>
      </c>
      <c r="AB129" s="1" t="s">
        <v>647</v>
      </c>
    </row>
    <row r="130" spans="1:28" ht="12.75">
      <c r="A130" s="3" t="s">
        <v>680</v>
      </c>
      <c r="B130" s="1" t="s">
        <v>681</v>
      </c>
      <c r="C130" s="1" t="s">
        <v>682</v>
      </c>
      <c r="D130" s="17" t="s">
        <v>43</v>
      </c>
      <c r="E130" s="6" t="str">
        <f>HYPERLINK("https://www.bioscidb.com/browse/deal_bg/12660","Link")</f>
        <v>Link</v>
      </c>
      <c r="F130" s="1" t="s">
        <v>15</v>
      </c>
      <c r="G130" s="16" t="s">
        <v>683</v>
      </c>
      <c r="H130" s="4">
        <v>32</v>
      </c>
      <c r="I130" s="4">
        <v>7</v>
      </c>
      <c r="J130" s="4" t="s">
        <v>14</v>
      </c>
      <c r="K130" s="20">
        <f>I130/H130</f>
        <v>0.21875</v>
      </c>
      <c r="L130" s="5" t="s">
        <v>19</v>
      </c>
      <c r="M130" s="4">
        <v>25</v>
      </c>
      <c r="N130" s="6" t="str">
        <f>HYPERLINK("https://www.bioscidb.com/tag/gettag/2a0ddcd9-80ef-4eb4-9d96-239047c1e92b","Tag")</f>
        <v>Tag</v>
      </c>
      <c r="O130" s="4" t="s">
        <v>14</v>
      </c>
      <c r="P130" s="4"/>
      <c r="Q130" s="4" t="s">
        <v>14</v>
      </c>
      <c r="R130" s="4"/>
      <c r="S130" s="4">
        <v>7.000000000000001</v>
      </c>
      <c r="T130" s="26" t="s">
        <v>1002</v>
      </c>
      <c r="U130" s="6" t="str">
        <f>HYPERLINK("https://www.bioscidb.com/tag/gettag/d77dd963-153d-4966-bcaa-f6fceb0fbf52","Tag")</f>
        <v>Tag</v>
      </c>
      <c r="V130" s="8"/>
      <c r="W130" s="4"/>
      <c r="X130" s="1" t="s">
        <v>14</v>
      </c>
      <c r="Y130" s="1" t="s">
        <v>66</v>
      </c>
      <c r="Z130" s="1" t="s">
        <v>139</v>
      </c>
      <c r="AA130" s="1" t="s">
        <v>22</v>
      </c>
      <c r="AB130" s="1" t="s">
        <v>684</v>
      </c>
    </row>
    <row r="131" spans="1:28" ht="25.5">
      <c r="A131" s="3" t="s">
        <v>228</v>
      </c>
      <c r="B131" s="1" t="s">
        <v>220</v>
      </c>
      <c r="C131" s="1" t="s">
        <v>170</v>
      </c>
      <c r="D131" s="17" t="s">
        <v>56</v>
      </c>
      <c r="E131" s="6" t="str">
        <f>HYPERLINK("https://www.bioscidb.com/browse/deal_bg/1716","Link")</f>
        <v>Link</v>
      </c>
      <c r="F131" s="1" t="s">
        <v>15</v>
      </c>
      <c r="G131" s="16" t="s">
        <v>229</v>
      </c>
      <c r="H131" s="4">
        <v>30</v>
      </c>
      <c r="I131" s="4">
        <v>15</v>
      </c>
      <c r="J131" s="4" t="s">
        <v>14</v>
      </c>
      <c r="K131" s="20">
        <f>I131/H131</f>
        <v>0.5</v>
      </c>
      <c r="L131" s="5" t="s">
        <v>19</v>
      </c>
      <c r="M131" s="4" t="s">
        <v>14</v>
      </c>
      <c r="N131" s="4"/>
      <c r="O131" s="4" t="s">
        <v>14</v>
      </c>
      <c r="P131" s="4"/>
      <c r="Q131" s="4">
        <v>15</v>
      </c>
      <c r="R131" s="6" t="str">
        <f>HYPERLINK("https://www.bioscidb.com/tag/gettag/34947b0a-c642-4b52-b81b-2d2143f28001","Tag")</f>
        <v>Tag</v>
      </c>
      <c r="S131" s="4" t="s">
        <v>14</v>
      </c>
      <c r="T131" s="27"/>
      <c r="U131" s="4"/>
      <c r="V131" s="8"/>
      <c r="W131" s="4"/>
      <c r="X131" s="1" t="s">
        <v>14</v>
      </c>
      <c r="Y131" s="1" t="s">
        <v>14</v>
      </c>
      <c r="Z131" s="1" t="s">
        <v>55</v>
      </c>
      <c r="AA131" s="1" t="s">
        <v>84</v>
      </c>
      <c r="AB131" s="1" t="s">
        <v>230</v>
      </c>
    </row>
    <row r="132" spans="1:28" ht="25.5">
      <c r="A132" s="3" t="s">
        <v>921</v>
      </c>
      <c r="B132" s="1" t="s">
        <v>964</v>
      </c>
      <c r="C132" s="1" t="s">
        <v>900</v>
      </c>
      <c r="D132" s="1" t="s">
        <v>67</v>
      </c>
      <c r="E132" s="6" t="str">
        <f>HYPERLINK("https://www.bioscidb.com/browse/deal_bg/15606","Link")</f>
        <v>Link</v>
      </c>
      <c r="F132" s="1" t="s">
        <v>27</v>
      </c>
      <c r="G132" s="16" t="s">
        <v>965</v>
      </c>
      <c r="H132" s="4">
        <v>22.6</v>
      </c>
      <c r="I132" s="4" t="s">
        <v>14</v>
      </c>
      <c r="J132" s="4">
        <v>16.1</v>
      </c>
      <c r="K132" s="20">
        <f>J132/H132</f>
        <v>0.7123893805309734</v>
      </c>
      <c r="L132" s="5" t="s">
        <v>19</v>
      </c>
      <c r="M132" s="4">
        <v>6.5</v>
      </c>
      <c r="N132" s="6" t="str">
        <f>HYPERLINK("https://www.bioscidb.com/tag/gettag/14841993-370e-4df0-b4bd-c6716c7daa28","Tag")</f>
        <v>Tag</v>
      </c>
      <c r="O132" s="4" t="s">
        <v>14</v>
      </c>
      <c r="P132" s="4"/>
      <c r="Q132" s="4" t="s">
        <v>14</v>
      </c>
      <c r="R132" s="4"/>
      <c r="S132" s="4" t="s">
        <v>14</v>
      </c>
      <c r="T132" s="27"/>
      <c r="U132" s="4"/>
      <c r="V132" s="8">
        <v>5</v>
      </c>
      <c r="W132" s="6" t="str">
        <f>HYPERLINK("https://www.bioscidb.com/tag/gettag/9e5e4cdb-6c4a-41a5-b85e-b545f67add5e","Tag")</f>
        <v>Tag</v>
      </c>
      <c r="X132" s="1" t="s">
        <v>14</v>
      </c>
      <c r="Y132" s="1" t="s">
        <v>211</v>
      </c>
      <c r="Z132" s="1" t="s">
        <v>966</v>
      </c>
      <c r="AA132" s="1" t="s">
        <v>84</v>
      </c>
      <c r="AB132" s="1" t="s">
        <v>14</v>
      </c>
    </row>
    <row r="133" spans="1:28" ht="12.75">
      <c r="A133" s="3" t="s">
        <v>673</v>
      </c>
      <c r="B133" s="1" t="s">
        <v>674</v>
      </c>
      <c r="C133" s="1" t="s">
        <v>675</v>
      </c>
      <c r="D133" s="1" t="s">
        <v>56</v>
      </c>
      <c r="E133" s="6" t="str">
        <f>HYPERLINK("https://www.bioscidb.com/browse/deal_bg/14742","Link")</f>
        <v>Link</v>
      </c>
      <c r="F133" s="1" t="s">
        <v>15</v>
      </c>
      <c r="G133" s="16" t="s">
        <v>676</v>
      </c>
      <c r="H133" s="4">
        <v>22.25</v>
      </c>
      <c r="I133" s="4">
        <v>14</v>
      </c>
      <c r="J133" s="4" t="s">
        <v>14</v>
      </c>
      <c r="K133" s="20">
        <f>I133/H133</f>
        <v>0.6292134831460674</v>
      </c>
      <c r="L133" s="5" t="s">
        <v>19</v>
      </c>
      <c r="M133" s="4" t="s">
        <v>14</v>
      </c>
      <c r="N133" s="4"/>
      <c r="O133" s="4" t="s">
        <v>14</v>
      </c>
      <c r="P133" s="4"/>
      <c r="Q133" s="4">
        <v>8.25</v>
      </c>
      <c r="R133" s="6" t="str">
        <f>HYPERLINK("https://www.bioscidb.com/tag/gettag/6e2bef67-c236-4601-af97-4cd2863e9db4","Tag")</f>
        <v>Tag</v>
      </c>
      <c r="S133" s="4" t="s">
        <v>14</v>
      </c>
      <c r="T133" s="27"/>
      <c r="U133" s="4"/>
      <c r="V133" s="8"/>
      <c r="W133" s="4"/>
      <c r="X133" s="1" t="s">
        <v>14</v>
      </c>
      <c r="Y133" s="1" t="s">
        <v>14</v>
      </c>
      <c r="Z133" s="1" t="s">
        <v>266</v>
      </c>
      <c r="AA133" s="1" t="s">
        <v>22</v>
      </c>
      <c r="AB133" s="1" t="s">
        <v>14</v>
      </c>
    </row>
    <row r="134" spans="1:28" ht="12.75">
      <c r="A134" s="3" t="s">
        <v>587</v>
      </c>
      <c r="B134" s="1" t="s">
        <v>588</v>
      </c>
      <c r="C134" s="1" t="s">
        <v>589</v>
      </c>
      <c r="D134" s="1" t="s">
        <v>131</v>
      </c>
      <c r="E134" s="6" t="str">
        <f>HYPERLINK("https://www.bioscidb.com/browse/deal_bg/9944","Link")</f>
        <v>Link</v>
      </c>
      <c r="F134" s="1" t="s">
        <v>15</v>
      </c>
      <c r="G134" s="16" t="s">
        <v>590</v>
      </c>
      <c r="H134" s="4">
        <v>17.5</v>
      </c>
      <c r="I134" s="4">
        <v>17.5</v>
      </c>
      <c r="J134" s="4" t="s">
        <v>14</v>
      </c>
      <c r="K134" s="20">
        <f>I134/H134</f>
        <v>1</v>
      </c>
      <c r="L134" s="5" t="s">
        <v>19</v>
      </c>
      <c r="M134" s="4" t="s">
        <v>14</v>
      </c>
      <c r="N134" s="4"/>
      <c r="O134" s="4" t="s">
        <v>14</v>
      </c>
      <c r="P134" s="4"/>
      <c r="Q134" s="4" t="s">
        <v>14</v>
      </c>
      <c r="R134" s="4"/>
      <c r="S134" s="4">
        <v>5</v>
      </c>
      <c r="T134" s="27"/>
      <c r="U134" s="4"/>
      <c r="V134" s="8"/>
      <c r="W134" s="4"/>
      <c r="X134" s="1" t="s">
        <v>14</v>
      </c>
      <c r="Y134" s="1" t="s">
        <v>14</v>
      </c>
      <c r="Z134" s="1" t="s">
        <v>156</v>
      </c>
      <c r="AA134" s="1" t="s">
        <v>131</v>
      </c>
      <c r="AB134" s="1" t="s">
        <v>14</v>
      </c>
    </row>
    <row r="135" spans="1:28" ht="12.75">
      <c r="A135" s="3" t="s">
        <v>57</v>
      </c>
      <c r="B135" s="1" t="s">
        <v>544</v>
      </c>
      <c r="C135" s="1" t="s">
        <v>545</v>
      </c>
      <c r="D135" s="1" t="s">
        <v>50</v>
      </c>
      <c r="E135" s="6" t="str">
        <f>HYPERLINK("https://www.bioscidb.com/browse/deal_bg/9151","Link")</f>
        <v>Link</v>
      </c>
      <c r="F135" s="1" t="s">
        <v>15</v>
      </c>
      <c r="G135" s="16" t="s">
        <v>546</v>
      </c>
      <c r="H135" s="4">
        <v>13.5</v>
      </c>
      <c r="I135" s="4">
        <v>2.5</v>
      </c>
      <c r="J135" s="4" t="s">
        <v>14</v>
      </c>
      <c r="K135" s="20">
        <f>I135/H135</f>
        <v>0.18518518518518517</v>
      </c>
      <c r="L135" s="5" t="s">
        <v>19</v>
      </c>
      <c r="M135" s="4">
        <v>2</v>
      </c>
      <c r="N135" s="6" t="str">
        <f>HYPERLINK("https://www.bioscidb.com/tag/gettag/5a72a940-8bf8-49b2-a919-4c41e717b165","Tag")</f>
        <v>Tag</v>
      </c>
      <c r="O135" s="4" t="s">
        <v>14</v>
      </c>
      <c r="P135" s="4"/>
      <c r="Q135" s="4" t="s">
        <v>14</v>
      </c>
      <c r="R135" s="4"/>
      <c r="S135" s="4" t="s">
        <v>14</v>
      </c>
      <c r="T135" s="27"/>
      <c r="U135" s="4"/>
      <c r="V135" s="8"/>
      <c r="W135" s="4"/>
      <c r="X135" s="1" t="s">
        <v>14</v>
      </c>
      <c r="Y135" s="1" t="s">
        <v>14</v>
      </c>
      <c r="Z135" s="1" t="s">
        <v>123</v>
      </c>
      <c r="AA135" s="1" t="s">
        <v>178</v>
      </c>
      <c r="AB135" s="1" t="s">
        <v>14</v>
      </c>
    </row>
    <row r="136" spans="1:28" ht="12.75">
      <c r="A136" s="3" t="s">
        <v>494</v>
      </c>
      <c r="B136" s="1" t="s">
        <v>831</v>
      </c>
      <c r="C136" s="1" t="s">
        <v>952</v>
      </c>
      <c r="D136" s="17" t="s">
        <v>56</v>
      </c>
      <c r="E136" s="6" t="str">
        <f>HYPERLINK("https://www.bioscidb.com/browse/deal_bg/8871","Link")</f>
        <v>Link</v>
      </c>
      <c r="F136" s="1" t="s">
        <v>15</v>
      </c>
      <c r="G136" s="16" t="s">
        <v>953</v>
      </c>
      <c r="H136" s="4">
        <v>12</v>
      </c>
      <c r="I136" s="4">
        <v>8</v>
      </c>
      <c r="J136" s="4" t="s">
        <v>14</v>
      </c>
      <c r="K136" s="20">
        <f>I136/H136</f>
        <v>0.6666666666666666</v>
      </c>
      <c r="L136" s="5" t="s">
        <v>19</v>
      </c>
      <c r="M136" s="4" t="s">
        <v>14</v>
      </c>
      <c r="N136" s="4"/>
      <c r="O136" s="4" t="s">
        <v>14</v>
      </c>
      <c r="P136" s="4"/>
      <c r="Q136" s="4">
        <v>4</v>
      </c>
      <c r="R136" s="6" t="str">
        <f>HYPERLINK("https://www.bioscidb.com/tag/gettag/2ed7b4dd-a224-4823-b4ac-f0d3039d2e03","Tag")</f>
        <v>Tag</v>
      </c>
      <c r="S136" s="4" t="s">
        <v>14</v>
      </c>
      <c r="T136" s="27"/>
      <c r="U136" s="4"/>
      <c r="V136" s="8"/>
      <c r="W136" s="4"/>
      <c r="X136" s="1" t="s">
        <v>14</v>
      </c>
      <c r="Y136" s="1" t="s">
        <v>14</v>
      </c>
      <c r="Z136" s="1" t="s">
        <v>139</v>
      </c>
      <c r="AA136" s="1" t="s">
        <v>32</v>
      </c>
      <c r="AB136" s="1" t="s">
        <v>14</v>
      </c>
    </row>
    <row r="137" spans="1:28" ht="12.75">
      <c r="A137" s="3" t="s">
        <v>360</v>
      </c>
      <c r="B137" s="1" t="s">
        <v>361</v>
      </c>
      <c r="C137" s="1" t="s">
        <v>362</v>
      </c>
      <c r="D137" s="1" t="s">
        <v>43</v>
      </c>
      <c r="E137" s="6" t="str">
        <f>HYPERLINK("https://www.bioscidb.com/browse/deal_bg/1059","Link")</f>
        <v>Link</v>
      </c>
      <c r="F137" s="1" t="s">
        <v>15</v>
      </c>
      <c r="G137" s="16" t="s">
        <v>363</v>
      </c>
      <c r="H137" s="4">
        <v>10.4</v>
      </c>
      <c r="I137" s="4">
        <v>1.4</v>
      </c>
      <c r="J137" s="4" t="s">
        <v>14</v>
      </c>
      <c r="K137" s="20">
        <f>I137/H137</f>
        <v>0.1346153846153846</v>
      </c>
      <c r="L137" s="5" t="s">
        <v>19</v>
      </c>
      <c r="M137" s="4">
        <v>3</v>
      </c>
      <c r="N137" s="6" t="str">
        <f>HYPERLINK("https://www.bioscidb.com/tag/gettag/6779f40a-c7b9-4d36-a938-0b67ea0aba26","Tag")</f>
        <v>Tag</v>
      </c>
      <c r="O137" s="4" t="s">
        <v>14</v>
      </c>
      <c r="P137" s="4"/>
      <c r="Q137" s="4">
        <v>6</v>
      </c>
      <c r="R137" s="6" t="str">
        <f>HYPERLINK("https://www.bioscidb.com/tag/gettag/ce76813e-f53d-4d6a-9f41-d7998ac3725f","Tag")</f>
        <v>Tag</v>
      </c>
      <c r="S137" s="4">
        <v>5</v>
      </c>
      <c r="T137" s="27"/>
      <c r="U137" s="4"/>
      <c r="V137" s="8"/>
      <c r="W137" s="4"/>
      <c r="X137" s="1" t="s">
        <v>79</v>
      </c>
      <c r="Y137" s="1" t="s">
        <v>14</v>
      </c>
      <c r="Z137" s="1" t="s">
        <v>24</v>
      </c>
      <c r="AA137" s="1" t="s">
        <v>22</v>
      </c>
      <c r="AB137" s="1" t="s">
        <v>14</v>
      </c>
    </row>
    <row r="138" spans="1:28" ht="12.75">
      <c r="A138" s="3" t="s">
        <v>343</v>
      </c>
      <c r="B138" s="1" t="s">
        <v>344</v>
      </c>
      <c r="C138" s="1" t="s">
        <v>192</v>
      </c>
      <c r="D138" s="1" t="s">
        <v>25</v>
      </c>
      <c r="E138" s="6" t="str">
        <f>HYPERLINK("https://www.bioscidb.com/browse/deal_bg/8030","Link")</f>
        <v>Link</v>
      </c>
      <c r="F138" s="1" t="s">
        <v>15</v>
      </c>
      <c r="G138" s="16" t="s">
        <v>345</v>
      </c>
      <c r="H138" s="4">
        <v>8</v>
      </c>
      <c r="I138" s="4">
        <v>4</v>
      </c>
      <c r="J138" s="4" t="s">
        <v>14</v>
      </c>
      <c r="K138" s="20">
        <f>I138/H138</f>
        <v>0.5</v>
      </c>
      <c r="L138" s="5" t="s">
        <v>19</v>
      </c>
      <c r="M138" s="4">
        <v>4</v>
      </c>
      <c r="N138" s="6" t="str">
        <f>HYPERLINK("https://www.bioscidb.com/tag/gettag/4458e1d8-9f49-45b0-bb27-c3beaaf149a1","Tag")</f>
        <v>Tag</v>
      </c>
      <c r="O138" s="4" t="s">
        <v>14</v>
      </c>
      <c r="P138" s="4"/>
      <c r="Q138" s="4" t="s">
        <v>14</v>
      </c>
      <c r="R138" s="4"/>
      <c r="S138" s="4">
        <v>3</v>
      </c>
      <c r="T138" s="27"/>
      <c r="U138" s="4"/>
      <c r="V138" s="8"/>
      <c r="W138" s="4"/>
      <c r="X138" s="1" t="s">
        <v>14</v>
      </c>
      <c r="Y138" s="1" t="s">
        <v>14</v>
      </c>
      <c r="Z138" s="1" t="s">
        <v>346</v>
      </c>
      <c r="AA138" s="1" t="s">
        <v>32</v>
      </c>
      <c r="AB138" s="1" t="s">
        <v>14</v>
      </c>
    </row>
    <row r="139" spans="1:28" ht="12.75">
      <c r="A139" s="3" t="s">
        <v>424</v>
      </c>
      <c r="B139" s="1" t="s">
        <v>800</v>
      </c>
      <c r="C139" s="1" t="s">
        <v>723</v>
      </c>
      <c r="D139" s="17" t="s">
        <v>43</v>
      </c>
      <c r="E139" s="6" t="str">
        <f>HYPERLINK("https://www.bioscidb.com/browse/deal_bg/4635","Link")</f>
        <v>Link</v>
      </c>
      <c r="F139" s="1" t="s">
        <v>15</v>
      </c>
      <c r="G139" s="16" t="s">
        <v>801</v>
      </c>
      <c r="H139" s="4">
        <v>7</v>
      </c>
      <c r="I139" s="4">
        <v>3</v>
      </c>
      <c r="J139" s="4" t="s">
        <v>14</v>
      </c>
      <c r="K139" s="20">
        <f>I139/H139</f>
        <v>0.42857142857142855</v>
      </c>
      <c r="L139" s="5" t="s">
        <v>19</v>
      </c>
      <c r="M139" s="4">
        <v>4</v>
      </c>
      <c r="N139" s="6" t="str">
        <f>HYPERLINK("https://www.bioscidb.com/tag/gettag/b4420bc0-d145-49d8-846f-2978a95d277d","Tag")</f>
        <v>Tag</v>
      </c>
      <c r="O139" s="4" t="s">
        <v>14</v>
      </c>
      <c r="P139" s="4"/>
      <c r="Q139" s="4" t="s">
        <v>14</v>
      </c>
      <c r="R139" s="4"/>
      <c r="S139" s="4">
        <v>12.5</v>
      </c>
      <c r="T139" s="26" t="s">
        <v>1002</v>
      </c>
      <c r="U139" s="6" t="str">
        <f>HYPERLINK("https://www.bioscidb.com/tag/gettag/8be2f73a-0f66-40d7-8162-de3adf36a7c8","Tag")</f>
        <v>Tag</v>
      </c>
      <c r="V139" s="8"/>
      <c r="W139" s="4"/>
      <c r="X139" s="1" t="s">
        <v>14</v>
      </c>
      <c r="Y139" s="1" t="s">
        <v>211</v>
      </c>
      <c r="Z139" s="1" t="s">
        <v>139</v>
      </c>
      <c r="AA139" s="1" t="s">
        <v>89</v>
      </c>
      <c r="AB139" s="1" t="s">
        <v>14</v>
      </c>
    </row>
    <row r="140" spans="1:28" ht="12.75">
      <c r="A140" s="3" t="s">
        <v>338</v>
      </c>
      <c r="B140" s="1" t="s">
        <v>339</v>
      </c>
      <c r="C140" s="1" t="s">
        <v>340</v>
      </c>
      <c r="D140" s="1" t="s">
        <v>56</v>
      </c>
      <c r="E140" s="6" t="str">
        <f>HYPERLINK("https://www.bioscidb.com/browse/deal_bg/14738","Link")</f>
        <v>Link</v>
      </c>
      <c r="F140" s="1" t="s">
        <v>15</v>
      </c>
      <c r="G140" s="16" t="s">
        <v>341</v>
      </c>
      <c r="H140" s="4">
        <v>4.9</v>
      </c>
      <c r="I140" s="4">
        <v>3.8</v>
      </c>
      <c r="J140" s="4" t="s">
        <v>14</v>
      </c>
      <c r="K140" s="20">
        <f>I140/H140</f>
        <v>0.7755102040816325</v>
      </c>
      <c r="L140" s="5" t="s">
        <v>19</v>
      </c>
      <c r="M140" s="4" t="s">
        <v>14</v>
      </c>
      <c r="N140" s="4"/>
      <c r="O140" s="4" t="s">
        <v>14</v>
      </c>
      <c r="P140" s="4"/>
      <c r="Q140" s="4">
        <v>1.1</v>
      </c>
      <c r="R140" s="6" t="str">
        <f>HYPERLINK("https://www.bioscidb.com/tag/gettag/0ffa0840-554d-4745-a655-7206f13fff89","Tag")</f>
        <v>Tag</v>
      </c>
      <c r="S140" s="4" t="s">
        <v>14</v>
      </c>
      <c r="T140" s="27"/>
      <c r="U140" s="4"/>
      <c r="V140" s="8"/>
      <c r="W140" s="4"/>
      <c r="X140" s="1" t="s">
        <v>14</v>
      </c>
      <c r="Y140" s="1" t="s">
        <v>14</v>
      </c>
      <c r="Z140" s="1" t="s">
        <v>55</v>
      </c>
      <c r="AA140" s="1" t="s">
        <v>14</v>
      </c>
      <c r="AB140" s="1" t="s">
        <v>14</v>
      </c>
    </row>
    <row r="141" spans="1:28" ht="25.5">
      <c r="A141" s="3" t="s">
        <v>44</v>
      </c>
      <c r="B141" s="1" t="s">
        <v>810</v>
      </c>
      <c r="C141" s="1" t="s">
        <v>811</v>
      </c>
      <c r="D141" s="1" t="s">
        <v>56</v>
      </c>
      <c r="E141" s="6" t="str">
        <f>HYPERLINK("https://www.bioscidb.com/browse/deal_bg/5884","Link")</f>
        <v>Link</v>
      </c>
      <c r="F141" s="1" t="s">
        <v>15</v>
      </c>
      <c r="G141" s="16" t="s">
        <v>812</v>
      </c>
      <c r="H141" s="4">
        <v>4</v>
      </c>
      <c r="I141" s="4" t="s">
        <v>14</v>
      </c>
      <c r="J141" s="4">
        <v>2</v>
      </c>
      <c r="K141" s="20">
        <f>J141/H141</f>
        <v>0.5</v>
      </c>
      <c r="L141" s="5" t="s">
        <v>19</v>
      </c>
      <c r="M141" s="4" t="s">
        <v>14</v>
      </c>
      <c r="N141" s="4"/>
      <c r="O141" s="4" t="s">
        <v>14</v>
      </c>
      <c r="P141" s="4"/>
      <c r="Q141" s="4" t="s">
        <v>14</v>
      </c>
      <c r="R141" s="4"/>
      <c r="S141" s="4" t="s">
        <v>14</v>
      </c>
      <c r="T141" s="27"/>
      <c r="U141" s="25" t="s">
        <v>1009</v>
      </c>
      <c r="V141" s="8">
        <f>AVERAGE(V116:V140)</f>
        <v>7.15</v>
      </c>
      <c r="W141" s="4"/>
      <c r="X141" s="1" t="s">
        <v>14</v>
      </c>
      <c r="Y141" s="1" t="s">
        <v>14</v>
      </c>
      <c r="Z141" s="1" t="s">
        <v>55</v>
      </c>
      <c r="AA141" s="1" t="s">
        <v>22</v>
      </c>
      <c r="AB141" s="1" t="s">
        <v>813</v>
      </c>
    </row>
    <row r="142" spans="21:22" ht="12.75">
      <c r="U142" s="25" t="s">
        <v>1010</v>
      </c>
      <c r="V142" s="11">
        <f>MEDIAN(V116:V140)</f>
        <v>6.25</v>
      </c>
    </row>
    <row r="143" spans="4:23" ht="12.75">
      <c r="D143" s="2"/>
      <c r="G143" s="18" t="s">
        <v>987</v>
      </c>
      <c r="H143" s="2" t="str">
        <f>DOLLAR(AVERAGE(H2:H141))</f>
        <v>$1,536.78</v>
      </c>
      <c r="I143" s="2" t="str">
        <f>DOLLAR(AVERAGE(I2:I141))</f>
        <v>$1,341.00</v>
      </c>
      <c r="Q143" s="2"/>
      <c r="R143" s="2"/>
      <c r="S143" s="2"/>
      <c r="T143" s="29"/>
      <c r="U143" s="2"/>
      <c r="V143" s="10"/>
      <c r="W143" s="2"/>
    </row>
    <row r="144" spans="4:23" ht="12.75">
      <c r="D144" s="2"/>
      <c r="G144" s="18" t="s">
        <v>988</v>
      </c>
      <c r="H144" s="2" t="str">
        <f>DOLLAR(MEDIAN(H2:H141))</f>
        <v>$245.00</v>
      </c>
      <c r="I144" s="2" t="str">
        <f>DOLLAR(MEDIAN(I2:I141))</f>
        <v>$135.00</v>
      </c>
      <c r="Q144" s="2"/>
      <c r="R144" s="2"/>
      <c r="S144" s="2"/>
      <c r="T144" s="29"/>
      <c r="U144" s="2"/>
      <c r="V144" s="10"/>
      <c r="W144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medwards</dc:creator>
  <cp:keywords/>
  <dc:description/>
  <cp:lastModifiedBy>MEdwards</cp:lastModifiedBy>
  <dcterms:created xsi:type="dcterms:W3CDTF">2020-03-03T22:04:30Z</dcterms:created>
  <dcterms:modified xsi:type="dcterms:W3CDTF">2020-03-05T18:37:44Z</dcterms:modified>
  <cp:category/>
  <cp:version/>
  <cp:contentType/>
  <cp:contentStatus/>
</cp:coreProperties>
</file>